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547e5cb62c930d/AA Kiladalens Utveckling AB/A2 - BÖCKER/BOK 3 Hyreslgh/Utbildningspaket/MASTER PRODUKTIONSKALKYL MALL/"/>
    </mc:Choice>
  </mc:AlternateContent>
  <xr:revisionPtr revIDLastSave="1105" documentId="8_{419738B8-5F54-4D13-9A8E-42E4893F2956}" xr6:coauthVersionLast="46" xr6:coauthVersionMax="46" xr10:uidLastSave="{80CC3452-8D3D-40D5-928E-96C5F5F5C790}"/>
  <bookViews>
    <workbookView xWindow="-108" yWindow="-108" windowWidth="23256" windowHeight="12576" tabRatio="899" activeTab="3" xr2:uid="{00000000-000D-0000-FFFF-FFFF00000000}"/>
  </bookViews>
  <sheets>
    <sheet name="Intro" sheetId="33" r:id="rId1"/>
    <sheet name="Sammanfattande resultat" sheetId="24" r:id="rId2"/>
    <sheet name="Resultaträkning &amp; kassaflöde" sheetId="34" r:id="rId3"/>
    <sheet name="Produktionsplan" sheetId="29" r:id="rId4"/>
    <sheet name="Hyresavgifter" sheetId="4" r:id="rId5"/>
    <sheet name="Referensunderlag" sheetId="31" r:id="rId6"/>
    <sheet name="Stöd Boverket" sheetId="1" r:id="rId7"/>
    <sheet name="Överkompensation" sheetId="32" r:id="rId8"/>
    <sheet name="Illustration av kostnader" sheetId="22" r:id="rId9"/>
  </sheets>
  <externalReferences>
    <externalReference r:id="rId10"/>
  </externalReferences>
  <definedNames>
    <definedName name="_xlnm.Print_Area" localSheetId="4">Hyresavgifter!$A$1:$O$24</definedName>
    <definedName name="_xlnm.Print_Area" localSheetId="8">'Illustration av kostnader'!$A$1:$I$40</definedName>
    <definedName name="_xlnm.Print_Area" localSheetId="3">Produktionsplan!$A$1:$J$64</definedName>
    <definedName name="_xlnm.Print_Area" localSheetId="5">Referensunderlag!$A$1:$S$68</definedName>
    <definedName name="_xlnm.Print_Area" localSheetId="1">'Sammanfattande resultat'!$A$1:$J$27</definedName>
    <definedName name="_xlnm.Print_Area" localSheetId="6">'Stöd Boverket'!$A$1:$L$26</definedName>
    <definedName name="_xlnm.Print_Area" localSheetId="7">Överkompensation!$A$1:$J$22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29" l="1"/>
  <c r="N9" i="31"/>
  <c r="D8" i="4" l="1"/>
  <c r="D9" i="4"/>
  <c r="D7" i="4"/>
  <c r="D6" i="4"/>
  <c r="I7" i="4"/>
  <c r="B11" i="1"/>
  <c r="G9" i="4"/>
  <c r="G21" i="4" s="1"/>
  <c r="B8" i="4"/>
  <c r="B9" i="4"/>
  <c r="G10" i="4" s="1"/>
  <c r="G22" i="4" s="1"/>
  <c r="B7" i="4"/>
  <c r="G8" i="4" s="1"/>
  <c r="G20" i="4" s="1"/>
  <c r="B6" i="4"/>
  <c r="B9" i="1" s="1"/>
  <c r="C47" i="31"/>
  <c r="F11" i="34"/>
  <c r="G11" i="34" s="1"/>
  <c r="H11" i="34" s="1"/>
  <c r="I11" i="34" s="1"/>
  <c r="J11" i="34" s="1"/>
  <c r="E11" i="34"/>
  <c r="C9" i="34"/>
  <c r="L24" i="31"/>
  <c r="J23" i="31"/>
  <c r="J24" i="31" s="1"/>
  <c r="J25" i="31" s="1"/>
  <c r="J26" i="31" s="1"/>
  <c r="J27" i="31" s="1"/>
  <c r="J28" i="31" s="1"/>
  <c r="J29" i="31" s="1"/>
  <c r="J30" i="31" s="1"/>
  <c r="J31" i="31" s="1"/>
  <c r="J32" i="31" s="1"/>
  <c r="J33" i="31" s="1"/>
  <c r="K34" i="31"/>
  <c r="O33" i="31"/>
  <c r="L33" i="31"/>
  <c r="L34" i="31" s="1"/>
  <c r="O32" i="31"/>
  <c r="L32" i="31"/>
  <c r="O31" i="31"/>
  <c r="L31" i="31"/>
  <c r="D29" i="31" s="1"/>
  <c r="O30" i="31"/>
  <c r="L30" i="31"/>
  <c r="O29" i="31"/>
  <c r="L29" i="31"/>
  <c r="O28" i="31"/>
  <c r="L28" i="31"/>
  <c r="D28" i="31" s="1"/>
  <c r="O27" i="31"/>
  <c r="L27" i="31"/>
  <c r="O26" i="31"/>
  <c r="L26" i="31"/>
  <c r="O25" i="31"/>
  <c r="L25" i="31"/>
  <c r="D27" i="31" s="1"/>
  <c r="O24" i="31"/>
  <c r="L23" i="31"/>
  <c r="B3" i="1"/>
  <c r="L22" i="4"/>
  <c r="K22" i="4" s="1"/>
  <c r="I10" i="4" s="1"/>
  <c r="L21" i="4"/>
  <c r="K21" i="4" s="1"/>
  <c r="I9" i="4" s="1"/>
  <c r="L20" i="4"/>
  <c r="K20" i="4" s="1"/>
  <c r="I8" i="4" s="1"/>
  <c r="L19" i="4"/>
  <c r="H7" i="24" s="1"/>
  <c r="H10" i="4"/>
  <c r="H9" i="4"/>
  <c r="H8" i="4"/>
  <c r="H7" i="4"/>
  <c r="H19" i="4" s="1"/>
  <c r="G11" i="1"/>
  <c r="G10" i="1"/>
  <c r="G12" i="1"/>
  <c r="B2" i="29"/>
  <c r="D34" i="22"/>
  <c r="D30" i="22"/>
  <c r="D29" i="22"/>
  <c r="C12" i="1"/>
  <c r="C11" i="1"/>
  <c r="C10" i="1"/>
  <c r="C9" i="1"/>
  <c r="D12" i="1"/>
  <c r="D10" i="1"/>
  <c r="D11" i="1"/>
  <c r="D9" i="1"/>
  <c r="C7" i="4"/>
  <c r="E7" i="4" s="1"/>
  <c r="C8" i="4"/>
  <c r="E8" i="4" s="1"/>
  <c r="C9" i="4"/>
  <c r="E9" i="4" s="1"/>
  <c r="C6" i="4"/>
  <c r="E6" i="4" s="1"/>
  <c r="D32" i="29"/>
  <c r="B10" i="1" l="1"/>
  <c r="K8" i="4"/>
  <c r="J20" i="4" s="1"/>
  <c r="G7" i="4"/>
  <c r="G19" i="4" s="1"/>
  <c r="B12" i="1"/>
  <c r="K10" i="4"/>
  <c r="K9" i="4"/>
  <c r="K19" i="4"/>
  <c r="H10" i="24"/>
  <c r="H8" i="24"/>
  <c r="H9" i="24"/>
  <c r="D30" i="31"/>
  <c r="H21" i="4"/>
  <c r="H20" i="4"/>
  <c r="H22" i="4"/>
  <c r="D38" i="22"/>
  <c r="D61" i="29"/>
  <c r="J22" i="4" l="1"/>
  <c r="L10" i="4"/>
  <c r="J21" i="4"/>
  <c r="L9" i="4"/>
  <c r="L8" i="4"/>
  <c r="K7" i="4"/>
  <c r="J19" i="4" s="1"/>
  <c r="R19" i="31"/>
  <c r="D15" i="24" s="1"/>
  <c r="J11" i="1"/>
  <c r="J10" i="1"/>
  <c r="C27" i="31"/>
  <c r="G7" i="24"/>
  <c r="G8" i="24"/>
  <c r="G9" i="24"/>
  <c r="G10" i="24"/>
  <c r="R18" i="31"/>
  <c r="O10" i="31"/>
  <c r="O6" i="31"/>
  <c r="O7" i="31"/>
  <c r="O8" i="31"/>
  <c r="E9" i="31"/>
  <c r="E17" i="31" s="1"/>
  <c r="O12" i="31"/>
  <c r="D13" i="1"/>
  <c r="E11" i="1"/>
  <c r="N13" i="31"/>
  <c r="O13" i="31" s="1"/>
  <c r="O11" i="31"/>
  <c r="S22" i="32"/>
  <c r="G6" i="32"/>
  <c r="F6" i="32"/>
  <c r="G5" i="32"/>
  <c r="F5" i="32"/>
  <c r="F4" i="32"/>
  <c r="G3" i="32"/>
  <c r="F3" i="32"/>
  <c r="I9" i="31"/>
  <c r="I17" i="31" s="1"/>
  <c r="D49" i="29"/>
  <c r="F39" i="29"/>
  <c r="F38" i="29"/>
  <c r="F37" i="29"/>
  <c r="F36" i="29"/>
  <c r="E11" i="24"/>
  <c r="D14" i="22"/>
  <c r="D13" i="22"/>
  <c r="D20" i="22"/>
  <c r="D19" i="22"/>
  <c r="D25" i="22"/>
  <c r="H30" i="22"/>
  <c r="H38" i="22" s="1"/>
  <c r="H40" i="22" s="1"/>
  <c r="D18" i="29"/>
  <c r="D21" i="29" s="1"/>
  <c r="D53" i="29"/>
  <c r="D56" i="29" s="1"/>
  <c r="D64" i="29"/>
  <c r="E12" i="1"/>
  <c r="E10" i="1"/>
  <c r="E9" i="1"/>
  <c r="B39" i="32"/>
  <c r="B48" i="32"/>
  <c r="B50" i="32"/>
  <c r="B64" i="32"/>
  <c r="B56" i="32"/>
  <c r="B44" i="32"/>
  <c r="B57" i="32"/>
  <c r="B47" i="32"/>
  <c r="B46" i="32"/>
  <c r="B63" i="32"/>
  <c r="B58" i="32"/>
  <c r="B40" i="32"/>
  <c r="B41" i="32"/>
  <c r="B28" i="32"/>
  <c r="B65" i="32"/>
  <c r="B29" i="32"/>
  <c r="B67" i="32"/>
  <c r="B68" i="32"/>
  <c r="B34" i="32"/>
  <c r="B31" i="32"/>
  <c r="B51" i="32"/>
  <c r="B54" i="32"/>
  <c r="B60" i="32"/>
  <c r="B61" i="32"/>
  <c r="B33" i="32"/>
  <c r="B32" i="32"/>
  <c r="B55" i="32"/>
  <c r="B38" i="32"/>
  <c r="B62" i="32"/>
  <c r="B35" i="32"/>
  <c r="B43" i="32"/>
  <c r="B49" i="32"/>
  <c r="B37" i="32"/>
  <c r="B42" i="32"/>
  <c r="B66" i="32"/>
  <c r="B45" i="32"/>
  <c r="B59" i="32"/>
  <c r="B53" i="32"/>
  <c r="B30" i="32"/>
  <c r="B36" i="32"/>
  <c r="B52" i="32"/>
  <c r="F31" i="29" l="1"/>
  <c r="F32" i="29" s="1"/>
  <c r="F17" i="29"/>
  <c r="F21" i="29" s="1"/>
  <c r="F60" i="29"/>
  <c r="F48" i="29"/>
  <c r="F49" i="29" s="1"/>
  <c r="P24" i="31"/>
  <c r="C28" i="31"/>
  <c r="C29" i="31" s="1"/>
  <c r="C30" i="31" s="1"/>
  <c r="G11" i="24"/>
  <c r="B15" i="24" s="1"/>
  <c r="R4" i="31" s="1"/>
  <c r="Q11" i="31" s="1"/>
  <c r="O18" i="31"/>
  <c r="N17" i="31"/>
  <c r="O17" i="31" s="1"/>
  <c r="D27" i="22"/>
  <c r="D17" i="22"/>
  <c r="G9" i="1"/>
  <c r="J9" i="1" s="1"/>
  <c r="K9" i="1" s="1"/>
  <c r="K10" i="1"/>
  <c r="J12" i="1"/>
  <c r="K12" i="1" s="1"/>
  <c r="K11" i="1"/>
  <c r="H10" i="1"/>
  <c r="E13" i="1"/>
  <c r="H11" i="1"/>
  <c r="I7" i="24"/>
  <c r="F7" i="24"/>
  <c r="D7" i="24"/>
  <c r="D8" i="29"/>
  <c r="I10" i="24"/>
  <c r="D10" i="24"/>
  <c r="F10" i="24"/>
  <c r="D40" i="22" l="1"/>
  <c r="D6" i="22" s="1"/>
  <c r="D10" i="22" s="1"/>
  <c r="F53" i="29"/>
  <c r="F56" i="29" s="1"/>
  <c r="P25" i="31"/>
  <c r="F27" i="31" s="1"/>
  <c r="D16" i="24"/>
  <c r="D8" i="34" s="1"/>
  <c r="E8" i="34" s="1"/>
  <c r="F8" i="34" s="1"/>
  <c r="G8" i="34" s="1"/>
  <c r="H8" i="34" s="1"/>
  <c r="I8" i="34" s="1"/>
  <c r="J8" i="34" s="1"/>
  <c r="E15" i="32"/>
  <c r="H49" i="31"/>
  <c r="Q12" i="31"/>
  <c r="Q10" i="31"/>
  <c r="Q9" i="31"/>
  <c r="H9" i="1"/>
  <c r="K13" i="1"/>
  <c r="F61" i="29" s="1"/>
  <c r="H12" i="1"/>
  <c r="Q7" i="31"/>
  <c r="Q6" i="31"/>
  <c r="Q8" i="31"/>
  <c r="I9" i="24"/>
  <c r="F9" i="24"/>
  <c r="D9" i="24"/>
  <c r="H11" i="24"/>
  <c r="F8" i="24"/>
  <c r="I8" i="24"/>
  <c r="D8" i="24"/>
  <c r="P26" i="31" l="1"/>
  <c r="F11" i="29"/>
  <c r="D11" i="29" s="1"/>
  <c r="D14" i="29" s="1"/>
  <c r="D21" i="24"/>
  <c r="E17" i="32" s="1"/>
  <c r="H15" i="32" s="1"/>
  <c r="Q17" i="31"/>
  <c r="H13" i="1"/>
  <c r="I11" i="24"/>
  <c r="D6" i="34" s="1"/>
  <c r="E6" i="34" s="1"/>
  <c r="F6" i="34" s="1"/>
  <c r="G6" i="34" s="1"/>
  <c r="H6" i="34" s="1"/>
  <c r="I6" i="34" s="1"/>
  <c r="J6" i="34" s="1"/>
  <c r="F11" i="24" l="1"/>
  <c r="P27" i="31"/>
  <c r="E8" i="32"/>
  <c r="K29" i="32" s="1"/>
  <c r="L29" i="32" s="1"/>
  <c r="P28" i="31" l="1"/>
  <c r="F28" i="31" s="1"/>
  <c r="K30" i="32"/>
  <c r="K31" i="32" s="1"/>
  <c r="P29" i="31" l="1"/>
  <c r="Q30" i="32"/>
  <c r="L30" i="32"/>
  <c r="Q31" i="32"/>
  <c r="K32" i="32"/>
  <c r="L31" i="32"/>
  <c r="P30" i="31" l="1"/>
  <c r="L32" i="32"/>
  <c r="K33" i="32"/>
  <c r="Q32" i="32"/>
  <c r="P31" i="31" l="1"/>
  <c r="F29" i="31" s="1"/>
  <c r="K34" i="32"/>
  <c r="L33" i="32"/>
  <c r="Q33" i="32"/>
  <c r="P33" i="31" l="1"/>
  <c r="P32" i="31"/>
  <c r="Q34" i="32"/>
  <c r="K35" i="32"/>
  <c r="L34" i="32"/>
  <c r="P34" i="31" l="1"/>
  <c r="F30" i="31"/>
  <c r="L35" i="32"/>
  <c r="Q35" i="32"/>
  <c r="K36" i="32"/>
  <c r="K37" i="32" l="1"/>
  <c r="Q36" i="32"/>
  <c r="L36" i="32"/>
  <c r="K38" i="32" l="1"/>
  <c r="Q37" i="32"/>
  <c r="L37" i="32"/>
  <c r="K39" i="32" l="1"/>
  <c r="L38" i="32"/>
  <c r="Q38" i="32"/>
  <c r="Q39" i="32" l="1"/>
  <c r="K40" i="32"/>
  <c r="L39" i="32"/>
  <c r="Q40" i="32" l="1"/>
  <c r="L40" i="32"/>
  <c r="K41" i="32"/>
  <c r="Q41" i="32" l="1"/>
  <c r="L41" i="32"/>
  <c r="K42" i="32"/>
  <c r="Q42" i="32" l="1"/>
  <c r="L42" i="32"/>
  <c r="K43" i="32"/>
  <c r="L43" i="32" l="1"/>
  <c r="Q43" i="32"/>
  <c r="K44" i="32"/>
  <c r="K45" i="32" l="1"/>
  <c r="Q44" i="32"/>
  <c r="L44" i="32"/>
  <c r="K46" i="32" l="1"/>
  <c r="L45" i="32"/>
  <c r="Q45" i="32"/>
  <c r="Q46" i="32" l="1"/>
  <c r="K47" i="32"/>
  <c r="L46" i="32"/>
  <c r="K48" i="32" l="1"/>
  <c r="Q47" i="32"/>
  <c r="L47" i="32"/>
  <c r="L48" i="32" l="1"/>
  <c r="K49" i="32"/>
  <c r="Q48" i="32"/>
  <c r="Q49" i="32" l="1"/>
  <c r="L49" i="32"/>
  <c r="K50" i="32"/>
  <c r="K51" i="32" l="1"/>
  <c r="Q50" i="32"/>
  <c r="L50" i="32"/>
  <c r="K52" i="32" l="1"/>
  <c r="L51" i="32"/>
  <c r="Q51" i="32"/>
  <c r="L52" i="32" l="1"/>
  <c r="K53" i="32"/>
  <c r="Q52" i="32"/>
  <c r="L53" i="32" l="1"/>
  <c r="Q53" i="32"/>
  <c r="K54" i="32"/>
  <c r="Q54" i="32" l="1"/>
  <c r="K55" i="32"/>
  <c r="L54" i="32"/>
  <c r="Q55" i="32" l="1"/>
  <c r="L55" i="32"/>
  <c r="K56" i="32"/>
  <c r="L56" i="32" l="1"/>
  <c r="Q56" i="32"/>
  <c r="K57" i="32"/>
  <c r="L57" i="32" l="1"/>
  <c r="K58" i="32"/>
  <c r="Q57" i="32"/>
  <c r="Q58" i="32" l="1"/>
  <c r="K59" i="32"/>
  <c r="L58" i="32"/>
  <c r="K60" i="32" l="1"/>
  <c r="Q59" i="32"/>
  <c r="L59" i="32"/>
  <c r="Q60" i="32" l="1"/>
  <c r="K61" i="32"/>
  <c r="L60" i="32"/>
  <c r="Q61" i="32" l="1"/>
  <c r="K62" i="32"/>
  <c r="L61" i="32"/>
  <c r="K63" i="32" l="1"/>
  <c r="Q62" i="32"/>
  <c r="L62" i="32"/>
  <c r="K64" i="32" l="1"/>
  <c r="Q63" i="32"/>
  <c r="L63" i="32"/>
  <c r="Q64" i="32" l="1"/>
  <c r="L64" i="32"/>
  <c r="K65" i="32"/>
  <c r="K66" i="32" l="1"/>
  <c r="Q65" i="32"/>
  <c r="L65" i="32"/>
  <c r="Q66" i="32" l="1"/>
  <c r="L66" i="32"/>
  <c r="K67" i="32"/>
  <c r="L67" i="32" l="1"/>
  <c r="K68" i="32"/>
  <c r="Q67" i="32"/>
  <c r="Q68" i="32" l="1"/>
  <c r="L68" i="32"/>
  <c r="M28" i="32" s="1"/>
  <c r="H14" i="32" s="1"/>
  <c r="H16" i="32" s="1"/>
  <c r="F31" i="31" l="1"/>
  <c r="L7" i="4" l="1"/>
  <c r="F64" i="29"/>
  <c r="F8" i="29" s="1"/>
  <c r="F14" i="29" l="1"/>
  <c r="D18" i="24" s="1"/>
  <c r="D24" i="24"/>
  <c r="E16" i="32" l="1"/>
  <c r="H39" i="31"/>
  <c r="D26" i="24"/>
  <c r="H42" i="31" s="1"/>
  <c r="B24" i="31"/>
  <c r="E26" i="31" s="1"/>
  <c r="G16" i="24"/>
  <c r="D22" i="34"/>
  <c r="H16" i="24"/>
  <c r="F16" i="24"/>
  <c r="Q13" i="31" l="1"/>
  <c r="R13" i="31" s="1"/>
  <c r="R17" i="31" s="1"/>
  <c r="E18" i="32" s="1"/>
  <c r="F29" i="32" s="1"/>
  <c r="I16" i="24"/>
  <c r="I18" i="24" s="1"/>
  <c r="D18" i="34"/>
  <c r="E18" i="34" s="1"/>
  <c r="F18" i="34" s="1"/>
  <c r="G18" i="34" s="1"/>
  <c r="H18" i="34" s="1"/>
  <c r="I18" i="34" s="1"/>
  <c r="J18" i="34" s="1"/>
  <c r="Q15" i="31"/>
  <c r="E27" i="31"/>
  <c r="E28" i="31" s="1"/>
  <c r="E29" i="31" s="1"/>
  <c r="E30" i="31" s="1"/>
  <c r="Q16" i="31"/>
  <c r="D10" i="34"/>
  <c r="D9" i="34"/>
  <c r="E22" i="34"/>
  <c r="D28" i="32"/>
  <c r="H10" i="32"/>
  <c r="E31" i="31" l="1"/>
  <c r="C31" i="31" s="1"/>
  <c r="D17" i="34"/>
  <c r="E17" i="34" s="1"/>
  <c r="F17" i="34" s="1"/>
  <c r="G17" i="34" s="1"/>
  <c r="H17" i="34" s="1"/>
  <c r="I17" i="34" s="1"/>
  <c r="J17" i="34" s="1"/>
  <c r="E10" i="34"/>
  <c r="F10" i="34" s="1"/>
  <c r="G10" i="34" s="1"/>
  <c r="H10" i="34" s="1"/>
  <c r="I10" i="34" s="1"/>
  <c r="J10" i="34" s="1"/>
  <c r="F22" i="34"/>
  <c r="E9" i="34"/>
  <c r="I26" i="24"/>
  <c r="I24" i="24"/>
  <c r="D12" i="34"/>
  <c r="D16" i="34" s="1"/>
  <c r="G29" i="32"/>
  <c r="F30" i="32"/>
  <c r="D19" i="34" l="1"/>
  <c r="E15" i="34" s="1"/>
  <c r="E12" i="34"/>
  <c r="E16" i="34" s="1"/>
  <c r="G22" i="34"/>
  <c r="F9" i="34"/>
  <c r="F12" i="34" s="1"/>
  <c r="F16" i="34" s="1"/>
  <c r="F31" i="32"/>
  <c r="G30" i="32"/>
  <c r="U29" i="32"/>
  <c r="W29" i="32" s="1"/>
  <c r="H29" i="32"/>
  <c r="E19" i="34" l="1"/>
  <c r="F15" i="34" s="1"/>
  <c r="F19" i="34" s="1"/>
  <c r="G15" i="34" s="1"/>
  <c r="H30" i="32"/>
  <c r="P30" i="32"/>
  <c r="U30" i="32"/>
  <c r="F32" i="32"/>
  <c r="G31" i="32"/>
  <c r="G9" i="34"/>
  <c r="G12" i="34" s="1"/>
  <c r="G16" i="34" s="1"/>
  <c r="H22" i="34"/>
  <c r="G19" i="34" l="1"/>
  <c r="H15" i="34" s="1"/>
  <c r="F33" i="32"/>
  <c r="G32" i="32"/>
  <c r="H31" i="32"/>
  <c r="P31" i="32"/>
  <c r="U31" i="32"/>
  <c r="V30" i="32"/>
  <c r="W30" i="32"/>
  <c r="I22" i="34"/>
  <c r="H9" i="34"/>
  <c r="H12" i="34" s="1"/>
  <c r="H16" i="34" s="1"/>
  <c r="H19" i="34" l="1"/>
  <c r="I15" i="34" s="1"/>
  <c r="W31" i="32"/>
  <c r="V31" i="32"/>
  <c r="U32" i="32"/>
  <c r="P32" i="32"/>
  <c r="H32" i="32"/>
  <c r="F34" i="32"/>
  <c r="G33" i="32"/>
  <c r="I9" i="34"/>
  <c r="I12" i="34" s="1"/>
  <c r="I16" i="34" s="1"/>
  <c r="I19" i="34" s="1"/>
  <c r="J15" i="34" s="1"/>
  <c r="J22" i="34"/>
  <c r="J9" i="34" s="1"/>
  <c r="J12" i="34" s="1"/>
  <c r="J16" i="34" s="1"/>
  <c r="J19" i="34" l="1"/>
  <c r="P33" i="32"/>
  <c r="U33" i="32"/>
  <c r="H33" i="32"/>
  <c r="W32" i="32"/>
  <c r="V32" i="32"/>
  <c r="F35" i="32"/>
  <c r="G34" i="32"/>
  <c r="G35" i="32" l="1"/>
  <c r="F36" i="32"/>
  <c r="V33" i="32"/>
  <c r="W33" i="32"/>
  <c r="P34" i="32"/>
  <c r="H34" i="32"/>
  <c r="U34" i="32"/>
  <c r="W34" i="32" l="1"/>
  <c r="V34" i="32"/>
  <c r="F37" i="32"/>
  <c r="G36" i="32"/>
  <c r="H35" i="32"/>
  <c r="U35" i="32"/>
  <c r="P35" i="32"/>
  <c r="V35" i="32" l="1"/>
  <c r="W35" i="32"/>
  <c r="H36" i="32"/>
  <c r="U36" i="32"/>
  <c r="P36" i="32"/>
  <c r="F38" i="32"/>
  <c r="G37" i="32"/>
  <c r="P37" i="32" l="1"/>
  <c r="U37" i="32"/>
  <c r="H37" i="32"/>
  <c r="F39" i="32"/>
  <c r="G38" i="32"/>
  <c r="V36" i="32"/>
  <c r="W36" i="32"/>
  <c r="P38" i="32" l="1"/>
  <c r="U38" i="32"/>
  <c r="H38" i="32"/>
  <c r="W37" i="32"/>
  <c r="V37" i="32"/>
  <c r="F40" i="32"/>
  <c r="G39" i="32"/>
  <c r="H39" i="32" l="1"/>
  <c r="P39" i="32"/>
  <c r="U39" i="32"/>
  <c r="F41" i="32"/>
  <c r="G40" i="32"/>
  <c r="W38" i="32"/>
  <c r="V38" i="32"/>
  <c r="W39" i="32" l="1"/>
  <c r="V39" i="32"/>
  <c r="P40" i="32"/>
  <c r="U40" i="32"/>
  <c r="H40" i="32"/>
  <c r="G41" i="32"/>
  <c r="F42" i="32"/>
  <c r="W40" i="32" l="1"/>
  <c r="V40" i="32"/>
  <c r="F43" i="32"/>
  <c r="G42" i="32"/>
  <c r="U41" i="32"/>
  <c r="P41" i="32"/>
  <c r="H41" i="32"/>
  <c r="V41" i="32" l="1"/>
  <c r="W41" i="32"/>
  <c r="H42" i="32"/>
  <c r="U42" i="32"/>
  <c r="P42" i="32"/>
  <c r="F44" i="32"/>
  <c r="G43" i="32"/>
  <c r="H43" i="32" l="1"/>
  <c r="P43" i="32"/>
  <c r="U43" i="32"/>
  <c r="G44" i="32"/>
  <c r="F45" i="32"/>
  <c r="W42" i="32"/>
  <c r="V42" i="32"/>
  <c r="F46" i="32" l="1"/>
  <c r="G45" i="32"/>
  <c r="P44" i="32"/>
  <c r="U44" i="32"/>
  <c r="H44" i="32"/>
  <c r="W43" i="32"/>
  <c r="V43" i="32"/>
  <c r="G46" i="32" l="1"/>
  <c r="F47" i="32"/>
  <c r="W44" i="32"/>
  <c r="V44" i="32"/>
  <c r="H45" i="32"/>
  <c r="U45" i="32"/>
  <c r="P45" i="32"/>
  <c r="F48" i="32" l="1"/>
  <c r="G47" i="32"/>
  <c r="U46" i="32"/>
  <c r="P46" i="32"/>
  <c r="H46" i="32"/>
  <c r="V45" i="32"/>
  <c r="W45" i="32"/>
  <c r="W46" i="32" l="1"/>
  <c r="V46" i="32"/>
  <c r="P47" i="32"/>
  <c r="H47" i="32"/>
  <c r="U47" i="32"/>
  <c r="F49" i="32"/>
  <c r="G48" i="32"/>
  <c r="U48" i="32" l="1"/>
  <c r="P48" i="32"/>
  <c r="H48" i="32"/>
  <c r="F50" i="32"/>
  <c r="G49" i="32"/>
  <c r="W47" i="32"/>
  <c r="V47" i="32"/>
  <c r="H49" i="32" l="1"/>
  <c r="U49" i="32"/>
  <c r="P49" i="32"/>
  <c r="F51" i="32"/>
  <c r="G50" i="32"/>
  <c r="W48" i="32"/>
  <c r="V48" i="32"/>
  <c r="G51" i="32" l="1"/>
  <c r="F52" i="32"/>
  <c r="H50" i="32"/>
  <c r="P50" i="32"/>
  <c r="U50" i="32"/>
  <c r="W49" i="32"/>
  <c r="V49" i="32"/>
  <c r="V50" i="32" l="1"/>
  <c r="W50" i="32"/>
  <c r="F53" i="32"/>
  <c r="G52" i="32"/>
  <c r="P51" i="32"/>
  <c r="U51" i="32"/>
  <c r="H51" i="32"/>
  <c r="W51" i="32" l="1"/>
  <c r="V51" i="32"/>
  <c r="U52" i="32"/>
  <c r="P52" i="32"/>
  <c r="H52" i="32"/>
  <c r="F54" i="32"/>
  <c r="G53" i="32"/>
  <c r="P53" i="32" l="1"/>
  <c r="U53" i="32"/>
  <c r="H53" i="32"/>
  <c r="F55" i="32"/>
  <c r="G54" i="32"/>
  <c r="W52" i="32"/>
  <c r="V52" i="32"/>
  <c r="H54" i="32" l="1"/>
  <c r="U54" i="32"/>
  <c r="P54" i="32"/>
  <c r="F56" i="32"/>
  <c r="G55" i="32"/>
  <c r="V53" i="32"/>
  <c r="W53" i="32"/>
  <c r="P55" i="32" l="1"/>
  <c r="H55" i="32"/>
  <c r="U55" i="32"/>
  <c r="F57" i="32"/>
  <c r="G56" i="32"/>
  <c r="V54" i="32"/>
  <c r="W54" i="32"/>
  <c r="U56" i="32" l="1"/>
  <c r="H56" i="32"/>
  <c r="P56" i="32"/>
  <c r="V55" i="32"/>
  <c r="W55" i="32"/>
  <c r="F58" i="32"/>
  <c r="G57" i="32"/>
  <c r="U57" i="32" l="1"/>
  <c r="H57" i="32"/>
  <c r="P57" i="32"/>
  <c r="F59" i="32"/>
  <c r="G58" i="32"/>
  <c r="V56" i="32"/>
  <c r="W56" i="32"/>
  <c r="F60" i="32" l="1"/>
  <c r="G59" i="32"/>
  <c r="U58" i="32"/>
  <c r="H58" i="32"/>
  <c r="P58" i="32"/>
  <c r="V57" i="32"/>
  <c r="W57" i="32"/>
  <c r="W58" i="32" l="1"/>
  <c r="V58" i="32"/>
  <c r="U59" i="32"/>
  <c r="P59" i="32"/>
  <c r="H59" i="32"/>
  <c r="F61" i="32"/>
  <c r="G60" i="32"/>
  <c r="P60" i="32" l="1"/>
  <c r="U60" i="32"/>
  <c r="H60" i="32"/>
  <c r="W59" i="32"/>
  <c r="V59" i="32"/>
  <c r="G61" i="32"/>
  <c r="F62" i="32"/>
  <c r="F63" i="32" l="1"/>
  <c r="G62" i="32"/>
  <c r="U61" i="32"/>
  <c r="H61" i="32"/>
  <c r="P61" i="32"/>
  <c r="W60" i="32"/>
  <c r="V60" i="32"/>
  <c r="V61" i="32" l="1"/>
  <c r="W61" i="32"/>
  <c r="H62" i="32"/>
  <c r="U62" i="32"/>
  <c r="P62" i="32"/>
  <c r="F64" i="32"/>
  <c r="G63" i="32"/>
  <c r="H63" i="32" l="1"/>
  <c r="P63" i="32"/>
  <c r="U63" i="32"/>
  <c r="F65" i="32"/>
  <c r="G64" i="32"/>
  <c r="V62" i="32"/>
  <c r="W62" i="32"/>
  <c r="W63" i="32" l="1"/>
  <c r="V63" i="32"/>
  <c r="U64" i="32"/>
  <c r="H64" i="32"/>
  <c r="P64" i="32"/>
  <c r="F66" i="32"/>
  <c r="G65" i="32"/>
  <c r="U65" i="32" l="1"/>
  <c r="H65" i="32"/>
  <c r="P65" i="32"/>
  <c r="F67" i="32"/>
  <c r="G66" i="32"/>
  <c r="V64" i="32"/>
  <c r="W64" i="32"/>
  <c r="G67" i="32" l="1"/>
  <c r="F68" i="32"/>
  <c r="G68" i="32" s="1"/>
  <c r="P66" i="32"/>
  <c r="U66" i="32"/>
  <c r="H66" i="32"/>
  <c r="V65" i="32"/>
  <c r="W65" i="32"/>
  <c r="V66" i="32" l="1"/>
  <c r="W66" i="32"/>
  <c r="U68" i="32"/>
  <c r="P68" i="32"/>
  <c r="H68" i="32"/>
  <c r="P67" i="32"/>
  <c r="H67" i="32"/>
  <c r="U67" i="32"/>
  <c r="I28" i="32" l="1"/>
  <c r="H11" i="32" s="1"/>
  <c r="W67" i="32"/>
  <c r="V67" i="32"/>
  <c r="X30" i="32"/>
  <c r="H12" i="32"/>
  <c r="H18" i="32" s="1"/>
  <c r="I14" i="32" s="1"/>
  <c r="J14" i="32" s="1"/>
  <c r="W68" i="32"/>
  <c r="X28" i="32" s="1"/>
  <c r="X32" i="32" s="1"/>
  <c r="V68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tc={B501EA90-326A-436D-B9B3-28DE08C288D9}</author>
    <author>tc={9BFAECD5-1B19-43B1-B1C3-C989AF66792C}</author>
    <author>tc={9DCFB5E3-6460-4522-BD9F-9D8FF4E9E801}</author>
    <author>tc={06D0BD15-90F5-443A-B299-2E995CB17F5F}</author>
    <author>tc={0BAB2BBF-4C3A-4B00-AF79-F023A203A1E3}</author>
    <author>tc={4ECED6E4-CBBB-4523-8972-4573F30550CC}</author>
    <author>tc={BED514DD-40A4-4CB1-BA73-3AA74AA0A3E7}</author>
  </authors>
  <commentList>
    <comment ref="C7" authorId="0" shapeId="0" xr:uid="{B501EA90-326A-436D-B9B3-28DE08C288D9}">
      <text>
        <t>[Trådad kommentar]
I din version av Excel kan du läsa den här trådade kommentaren, men eventuella ändringar i den tas bort om filen öppnas i en senare version av Excel. Läs mer: https://go.microsoft.com/fwlink/?linkid=870924
Kommentar:
    Referensvärde 35 m2</t>
      </text>
    </comment>
    <comment ref="C8" authorId="1" shapeId="0" xr:uid="{9BFAECD5-1B19-43B1-B1C3-C989AF66792C}">
      <text>
        <t>[Trådad kommentar]
I din version av Excel kan du läsa den här trådade kommentaren, men eventuella ändringar i den tas bort om filen öppnas i en senare version av Excel. Läs mer: https://go.microsoft.com/fwlink/?linkid=870924
Kommentar:
    Referensvärde 60 m2</t>
      </text>
    </comment>
    <comment ref="C9" authorId="2" shapeId="0" xr:uid="{9DCFB5E3-6460-4522-BD9F-9D8FF4E9E801}">
      <text>
        <t>[Trådad kommentar]
I din version av Excel kan du läsa den här trådade kommentaren, men eventuella ändringar i den tas bort om filen öppnas i en senare version av Excel. Läs mer: https://go.microsoft.com/fwlink/?linkid=870924
Kommentar:
    Referensväfde 70 m2</t>
      </text>
    </comment>
    <comment ref="C10" authorId="3" shapeId="0" xr:uid="{06D0BD15-90F5-443A-B299-2E995CB17F5F}">
      <text>
        <t>[Trådad kommentar]
I din version av Excel kan du läsa den här trådade kommentaren, men eventuella ändringar i den tas bort om filen öppnas i en senare version av Excel. Läs mer: https://go.microsoft.com/fwlink/?linkid=870924
Kommentar:
    Referensvärde 85 m2</t>
      </text>
    </comment>
    <comment ref="F15" authorId="4" shapeId="0" xr:uid="{0BAB2BBF-4C3A-4B00-AF79-F023A203A1E3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räntesats; standardvärde 2%</t>
      </text>
    </comment>
    <comment ref="G15" authorId="5" shapeId="0" xr:uid="{4ECED6E4-CBBB-4523-8972-4573F30550CC}">
      <text>
        <t>[Trådad kommentar]
I din version av Excel kan du läsa den här trådade kommentaren, men eventuella ändringar i den tas bort om filen öppnas i en senare version av Excel. Läs mer: https://go.microsoft.com/fwlink/?linkid=870924
Kommentar:
    Förhandlingsbar tid mellan 50 -55 år; kan vara längre.</t>
      </text>
    </comment>
    <comment ref="H15" authorId="6" shapeId="0" xr:uid="{BED514DD-40A4-4CB1-BA73-3AA74AA0A3E7}">
      <text>
        <t>[Trådad kommentar]
I din version av Excel kan du läsa den här trådade kommentaren, men eventuella ändringar i den tas bort om filen öppnas i en senare version av Excel. Läs mer: https://go.microsoft.com/fwlink/?linkid=870924
Kommentar:
    Maximal avskrinving är 2% per år vilket motsvarar 50 år.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tc={E8D8605D-9EC9-455C-9FE7-3DE33D191E56}</author>
    <author>tc={49A4A68A-387E-4683-9C31-717130EA0151}</author>
    <author>tc={E3C1DE7D-2B65-44EB-AAC3-8DCF77EC05EB}</author>
    <author>tc={7C9C7FC3-55B3-47BE-837F-D180F2D715DA}</author>
    <author>tc={CFDB60F8-C023-4378-88DD-D19ADBB55648}</author>
    <author>tc={4F2CF9DB-07A6-405C-8D9F-479DCBD707F5}</author>
    <author>tc={0CF4E11B-1950-4693-8CD2-215DDD757929}</author>
    <author>tc={6366F083-B60F-41F9-B2AC-DB93ECB9BEDD}</author>
    <author>tc={E071EDA7-C65F-4BFE-9865-4432756737D7}</author>
    <author>tc={24024AC2-C1A3-4562-B3DC-EFEDA43DAF8C}</author>
    <author>tc={C3CE9534-BF13-4C35-AD04-73CC467846B0}</author>
    <author>tc={9C874174-4315-4500-939F-4F9CB7705A3E}</author>
  </authors>
  <commentList>
    <comment ref="F17" authorId="0" shapeId="0" xr:uid="{E8D8605D-9EC9-455C-9FE7-3DE33D191E56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35 000 kr per lägenhet</t>
      </text>
    </comment>
    <comment ref="F18" authorId="1" shapeId="0" xr:uid="{49A4A68A-387E-4683-9C31-717130EA0151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50 000 kronor per byggnad</t>
      </text>
    </comment>
    <comment ref="F23" authorId="2" shapeId="0" xr:uid="{E3C1DE7D-2B65-44EB-AAC3-8DCF77EC05EB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100 000 kronor</t>
      </text>
    </comment>
    <comment ref="F24" authorId="3" shapeId="0" xr:uid="{7C9C7FC3-55B3-47BE-837F-D180F2D715DA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mellan 50 000 - 100 000 kronor</t>
      </text>
    </comment>
    <comment ref="F25" authorId="4" shapeId="0" xr:uid="{CFDB60F8-C023-4378-88DD-D19ADBB55648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i spannet 0,5-1 miljon kronor</t>
      </text>
    </comment>
    <comment ref="F27" authorId="5" shapeId="0" xr:uid="{4F2CF9DB-07A6-405C-8D9F-479DCBD707F5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20 000 kronor</t>
      </text>
    </comment>
    <comment ref="F30" authorId="6" shapeId="0" xr:uid="{0CF4E11B-1950-4693-8CD2-215DDD757929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200 000 per förråd på fastigheten</t>
      </text>
    </comment>
    <comment ref="F31" authorId="7" shapeId="0" xr:uid="{6366F083-B60F-41F9-B2AC-DB93ECB9BEDD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10 000 kronor per lägenhet</t>
      </text>
    </comment>
    <comment ref="F48" authorId="8" shapeId="0" xr:uid="{E071EDA7-C65F-4BFE-9865-4432756737D7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1 miljon kronor per lägenhet</t>
      </text>
    </comment>
    <comment ref="F60" authorId="9" shapeId="0" xr:uid="{24024AC2-C1A3-4562-B3DC-EFEDA43DAF8C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6 000 kronor per lägenhet</t>
      </text>
    </comment>
    <comment ref="F62" authorId="10" shapeId="0" xr:uid="{C3CE9534-BF13-4C35-AD04-73CC467846B0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30 000 kronor
Svar:
    Standardkostnad 30 000 kronor</t>
      </text>
    </comment>
    <comment ref="F63" authorId="11" shapeId="0" xr:uid="{9C874174-4315-4500-939F-4F9CB7705A3E}">
      <text>
        <t>[Trådad kommentar]
I din version av Excel kan du läsa den här trådade kommentaren, men eventuella ändringar i den tas bort om filen öppnas i en senare version av Excel. Läs mer: https://go.microsoft.com/fwlink/?linkid=870924
Kommentar:
    Standardkostnad för kontrollansvarig 35 000 - 40 000 kronor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tc={10BF162F-CA0F-4A09-A753-0A62F20B71CF}</author>
    <author>tc={12A8DABD-EF25-46DD-A31A-B0A509BE8AD4}</author>
    <author>tc={B48394D6-7CE5-4591-BC84-67A897B94806}</author>
    <author>tc={E298B44B-AE45-421E-8A73-9451D3823F01}</author>
    <author>tc={1D3078DB-3A60-49C5-B346-6BC653B08083}</author>
    <author>tc={1CAF35AC-664A-4E76-8894-D7BC8DC1726E}</author>
    <author>tc={B1B9F4B1-95BE-477A-A676-FCB776C60D08}</author>
    <author>tc={042F8099-97E6-4829-AE72-96FDD87CC54B}</author>
  </authors>
  <commentList>
    <comment ref="R6" authorId="0" shapeId="0" xr:uid="{10BF162F-CA0F-4A09-A753-0A62F20B71CF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 till vänster under /M2.</t>
      </text>
    </comment>
    <comment ref="R7" authorId="1" shapeId="0" xr:uid="{12A8DABD-EF25-46DD-A31A-B0A509BE8AD4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referensvärden.</t>
      </text>
    </comment>
    <comment ref="R8" authorId="2" shapeId="0" xr:uid="{B48394D6-7CE5-4591-BC84-67A897B94806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referensvärden.</t>
      </text>
    </comment>
    <comment ref="R9" authorId="3" shapeId="0" xr:uid="{E298B44B-AE45-421E-8A73-9451D3823F01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referensvärden.</t>
      </text>
    </comment>
    <comment ref="R10" authorId="4" shapeId="0" xr:uid="{1D3078DB-3A60-49C5-B346-6BC653B08083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referensvärden.</t>
      </text>
    </comment>
    <comment ref="R11" authorId="5" shapeId="0" xr:uid="{1CAF35AC-664A-4E76-8894-D7BC8DC1726E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driftskostnaderna. Se referensvärden.</t>
      </text>
    </comment>
    <comment ref="R12" authorId="6" shapeId="0" xr:uid="{B1B9F4B1-95BE-477A-A676-FCB776C60D08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fastighetsskatten. Se referensvärde. Mellan 10-15 kronor / m2.</t>
      </text>
    </comment>
    <comment ref="C26" authorId="7" shapeId="0" xr:uid="{042F8099-97E6-4829-AE72-96FDD87CC54B}">
      <text>
        <t>[Trådad kommentar]
I din version av Excel kan du läsa den här trådade kommentaren, men eventuella ändringar i den tas bort om filen öppnas i en senare version av Excel. Läs mer: https://go.microsoft.com/fwlink/?linkid=870924
Kommentar:
    Bedöm räntesats för byggnadskreditivet; något högre än placerad ränta.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Salvador</author>
    <author>Carlsson, Anders</author>
  </authors>
  <commentList>
    <comment ref="D3" authorId="0" shapeId="0" xr:uid="{A0781A3A-1F4B-4DD6-B5F7-C75663AFAC77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E39DA2BA-45B1-441A-9C79-F16DCFC928EF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1" shapeId="0" xr:uid="{785955BB-C7B7-482C-BFB7-AB080F3DA6C0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AE91F1DD-301C-40B3-B96E-CA19BCC25072}">
      <text>
        <r>
          <rPr>
            <b/>
            <sz val="9"/>
            <color indexed="81"/>
            <rFont val="Tahoma"/>
            <family val="2"/>
          </rPr>
          <t>Från Bofinc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9A07AFA7-3FF6-40C4-8090-E868FFE6E8AE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D33CAD25-56CD-4615-88CA-17005302645C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D4D47CB4-9AE8-4937-896C-6DD408AF921C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DB46BE8D-D18C-4258-82DC-DB5130B321FE}">
      <text>
        <r>
          <rPr>
            <b/>
            <sz val="9"/>
            <color indexed="81"/>
            <rFont val="Tahoma"/>
            <family val="2"/>
          </rPr>
          <t>Från Bofinc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B0728E0A-BF55-448B-A915-BF4208039EE3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475CBFBE-8605-46CC-BCB2-F906F640A808}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<sst xmlns="http://schemas.openxmlformats.org/spreadsheetml/2006/main" count="400" uniqueCount="311">
  <si>
    <t>Kostnadsslag</t>
  </si>
  <si>
    <t>Moms</t>
  </si>
  <si>
    <t>Pris inkl moms</t>
  </si>
  <si>
    <t>Anslutningsavgift VA</t>
  </si>
  <si>
    <t>Anslutningsavgift el</t>
  </si>
  <si>
    <t>Övrig tomtkostnad</t>
  </si>
  <si>
    <t>Summa tomt och avgifter</t>
  </si>
  <si>
    <t>Finplanering</t>
  </si>
  <si>
    <t>Övr exploatering: vägbredd</t>
  </si>
  <si>
    <t>Summa exploateringskostnad</t>
  </si>
  <si>
    <t>Elinstallation</t>
  </si>
  <si>
    <t>Målning &amp; tapetsering</t>
  </si>
  <si>
    <t>Summa byggnadskostnader</t>
  </si>
  <si>
    <t>Pantbrev</t>
  </si>
  <si>
    <t>Besiktning och byggkontroll</t>
  </si>
  <si>
    <t>Summa byggherrekostnader</t>
  </si>
  <si>
    <t>m2</t>
  </si>
  <si>
    <t>Antal</t>
  </si>
  <si>
    <t>Hyra per år</t>
  </si>
  <si>
    <t>Summa hyresintäkter</t>
  </si>
  <si>
    <t>Total yta</t>
  </si>
  <si>
    <t>Hyra/mån</t>
  </si>
  <si>
    <t>Intäkter</t>
  </si>
  <si>
    <t>Driftskostnader</t>
  </si>
  <si>
    <t>Lägenhets yta</t>
  </si>
  <si>
    <t>Drift/m2</t>
  </si>
  <si>
    <t>Total kostnad</t>
  </si>
  <si>
    <t xml:space="preserve">Total driftskostnad/år </t>
  </si>
  <si>
    <t>Ränta</t>
  </si>
  <si>
    <t>År  1-5</t>
  </si>
  <si>
    <t>Skuld</t>
  </si>
  <si>
    <t>Summa produktionskalkyl</t>
  </si>
  <si>
    <t>Bidrag i SEK</t>
  </si>
  <si>
    <t>Statligt investeringsstöd för hyreslägenheter från 2016-01-01</t>
  </si>
  <si>
    <t>Statligt finansieringsbidrag</t>
  </si>
  <si>
    <t>Total byggkostnad netto</t>
  </si>
  <si>
    <t>Total byggkostnad brutto</t>
  </si>
  <si>
    <t>Pris per m2</t>
  </si>
  <si>
    <t xml:space="preserve">Värme: </t>
  </si>
  <si>
    <t>Ingår</t>
  </si>
  <si>
    <t>Parkeringsplats:</t>
  </si>
  <si>
    <t xml:space="preserve">Hyresavgifter </t>
  </si>
  <si>
    <t xml:space="preserve">Statligt finansieringsbidrag </t>
  </si>
  <si>
    <t>Sprängning bostäder</t>
  </si>
  <si>
    <t>Schakt bostäder, markberedning</t>
  </si>
  <si>
    <t>Drift</t>
  </si>
  <si>
    <t>Amorteringar</t>
  </si>
  <si>
    <t>Avskrivningar</t>
  </si>
  <si>
    <t>Resultat</t>
  </si>
  <si>
    <t>Kassaflöde</t>
  </si>
  <si>
    <t>Likvida medel periodens slut</t>
  </si>
  <si>
    <t>Likvida medel periodens början</t>
  </si>
  <si>
    <t>Återläggning avskrivningar</t>
  </si>
  <si>
    <t>Byggnadsentreprenad totalt</t>
  </si>
  <si>
    <t>Grundmaterial</t>
  </si>
  <si>
    <t>Byggmaterial</t>
  </si>
  <si>
    <t>Isolering</t>
  </si>
  <si>
    <t>Fönster</t>
  </si>
  <si>
    <t>VVS</t>
  </si>
  <si>
    <t>Kök och badrumsinredning</t>
  </si>
  <si>
    <t>Vitvaror</t>
  </si>
  <si>
    <t>Ytskikt badrum</t>
  </si>
  <si>
    <t>Övr byggkostn(ställn, sop , tp etc)</t>
  </si>
  <si>
    <t>Brandskydd, ljudbeskr, konstr.ritn</t>
  </si>
  <si>
    <t>Vent</t>
  </si>
  <si>
    <t>Extra kosntader ljudkrav</t>
  </si>
  <si>
    <t>Återläggning:</t>
  </si>
  <si>
    <t>Övrigt</t>
  </si>
  <si>
    <t>Lås och tillbehör</t>
  </si>
  <si>
    <t xml:space="preserve">El och vatten under byggtiden </t>
  </si>
  <si>
    <t>Analys DoU-kostnader m2</t>
  </si>
  <si>
    <t>Underhåll</t>
  </si>
  <si>
    <t>Admin</t>
  </si>
  <si>
    <t>Uppvärmning</t>
  </si>
  <si>
    <t>taxebundna kostnader</t>
  </si>
  <si>
    <t>Fastighetsskatt</t>
  </si>
  <si>
    <t>Skötsel</t>
  </si>
  <si>
    <t>Totalt</t>
  </si>
  <si>
    <t>Privata bolag</t>
  </si>
  <si>
    <t>Totalt DoU</t>
  </si>
  <si>
    <t>Plan</t>
  </si>
  <si>
    <t>Utfall</t>
  </si>
  <si>
    <t>Dagvattenbrunn, kabel, markrör, arbete</t>
  </si>
  <si>
    <t>Besiktning vibrationsmätning grannhus</t>
  </si>
  <si>
    <t>Dubbel pumpbrunn (extra säkerhet)</t>
  </si>
  <si>
    <t>Bygglov, startbesked, utsättning mm</t>
  </si>
  <si>
    <t>Byggnadskreditiv  1 år (linjärt =50%)*</t>
  </si>
  <si>
    <t>Beräkning av kostnad för byggnadskreditiv</t>
  </si>
  <si>
    <t>Utnyttjat kreditiv</t>
  </si>
  <si>
    <t xml:space="preserve">Resultaträkning  </t>
  </si>
  <si>
    <t>erlagd rta</t>
  </si>
  <si>
    <t>Kallförråd och uteplats</t>
  </si>
  <si>
    <t>Total intäkt/år*</t>
  </si>
  <si>
    <t>GC 2020-04-28</t>
  </si>
  <si>
    <t>Avskrivn 50 år</t>
  </si>
  <si>
    <t>El, förs &amp; skötsel</t>
  </si>
  <si>
    <t>Brutto</t>
  </si>
  <si>
    <t>3 hus 12 lgh</t>
  </si>
  <si>
    <t>12 lgh</t>
  </si>
  <si>
    <t>Etapp 2</t>
  </si>
  <si>
    <t>Etapp 1</t>
  </si>
  <si>
    <t>Schakt, markberedning &amp; finplanering</t>
  </si>
  <si>
    <t>Arkitektkostnader</t>
  </si>
  <si>
    <t>Uteplatser</t>
  </si>
  <si>
    <t>Pris exkl moms</t>
  </si>
  <si>
    <t>Kallförråd</t>
  </si>
  <si>
    <t>Bostadsyta</t>
  </si>
  <si>
    <t>Vinstmarginal:….......................</t>
  </si>
  <si>
    <t>Summa byggnadskostnader 12 lgh</t>
  </si>
  <si>
    <t>Hushållsel:</t>
  </si>
  <si>
    <t>Ingår inte</t>
  </si>
  <si>
    <t>Tvättmaskin:</t>
  </si>
  <si>
    <t>Torkkumlare:</t>
  </si>
  <si>
    <t>Diskmaskin:</t>
  </si>
  <si>
    <t>Basbidrag:    Större tätort exkl Stockholm, Göteborg och Malmö:</t>
  </si>
  <si>
    <t>Basbidrag</t>
  </si>
  <si>
    <t xml:space="preserve">Kontraktskostnad: </t>
  </si>
  <si>
    <t>Kontrakts-avgift</t>
  </si>
  <si>
    <t>Räntesats</t>
  </si>
  <si>
    <t>Utnyttjad kredit</t>
  </si>
  <si>
    <t>Kvartal 0</t>
  </si>
  <si>
    <t xml:space="preserve">Kvartal 1 </t>
  </si>
  <si>
    <t>Kvartal 4</t>
  </si>
  <si>
    <t>Kvartal 2</t>
  </si>
  <si>
    <t>Kvartal 3</t>
  </si>
  <si>
    <t>Beräknad total finansieringskostnad</t>
  </si>
  <si>
    <t>Förs till Produktionsplan  Cell F63</t>
  </si>
  <si>
    <t>Fiberkabel</t>
  </si>
  <si>
    <t>&lt;-</t>
  </si>
  <si>
    <t>Omräkning av faktisk hyra till normhyra</t>
  </si>
  <si>
    <t xml:space="preserve">Fyll i antal rum, lägenhetsyta och årshyra (fungerar ej för halvrum) </t>
  </si>
  <si>
    <t xml:space="preserve">Systemet räknar ut normhyran (77 kvm, 91 års metod i kr/kvm) </t>
  </si>
  <si>
    <t xml:space="preserve">Antal rum </t>
  </si>
  <si>
    <t>Lgh yta</t>
  </si>
  <si>
    <t>Årshyra</t>
  </si>
  <si>
    <t>Korrig-
erings
poäng</t>
  </si>
  <si>
    <t>RH tal
-91</t>
  </si>
  <si>
    <t>Sökande</t>
  </si>
  <si>
    <t>För tester</t>
  </si>
  <si>
    <t>Anders Carlsson</t>
  </si>
  <si>
    <t>Fastighetsbeteckning</t>
  </si>
  <si>
    <t>Bromåla 1:14</t>
  </si>
  <si>
    <t>Diarienummer</t>
  </si>
  <si>
    <t>Bofincs ärendenummer</t>
  </si>
  <si>
    <t>Total faktisk hyra 1:a året</t>
  </si>
  <si>
    <t>RESULTATSAMMANSTÄLLNING</t>
  </si>
  <si>
    <t>kvm BOA</t>
  </si>
  <si>
    <t>Årlig hyresutveckling (%)</t>
  </si>
  <si>
    <t>Kostnader</t>
  </si>
  <si>
    <t>1 rok</t>
  </si>
  <si>
    <t>År 2</t>
  </si>
  <si>
    <t>Produktionskostnad</t>
  </si>
  <si>
    <t>2 rok</t>
  </si>
  <si>
    <t>År 3</t>
  </si>
  <si>
    <t>Drift och underhåll</t>
  </si>
  <si>
    <t>3 rok</t>
  </si>
  <si>
    <t>År 4</t>
  </si>
  <si>
    <t>4 rok</t>
  </si>
  <si>
    <t>År 5 och framåt</t>
  </si>
  <si>
    <t>Beslut:</t>
  </si>
  <si>
    <t>Stödbelopp</t>
  </si>
  <si>
    <t>5 rok</t>
  </si>
  <si>
    <t>Hyra</t>
  </si>
  <si>
    <t>6 rok</t>
  </si>
  <si>
    <t>Total area m2 (BOA)</t>
  </si>
  <si>
    <t>Stöd</t>
  </si>
  <si>
    <t>Produktionskostnad (kr)</t>
  </si>
  <si>
    <t>Stödbelopp (kr)</t>
  </si>
  <si>
    <t>Drift- och underhåll (DoU) (kr/kvm och år)</t>
  </si>
  <si>
    <t>Vinst/förlust</t>
  </si>
  <si>
    <t>Årlig utveckling, DoU (%)</t>
  </si>
  <si>
    <t>Kalkylränta (%)</t>
  </si>
  <si>
    <t>MAKRO</t>
  </si>
  <si>
    <t>Första</t>
  </si>
  <si>
    <t>Andra</t>
  </si>
  <si>
    <t>Tredje</t>
  </si>
  <si>
    <t>Fjärde</t>
  </si>
  <si>
    <t>KOSTNADER</t>
  </si>
  <si>
    <t>INTÄKTER</t>
  </si>
  <si>
    <t>Diskont.  faktor</t>
  </si>
  <si>
    <t>År</t>
  </si>
  <si>
    <t>DoU (kr/kvm och år)</t>
  </si>
  <si>
    <t>Årlig DoU (kr)</t>
  </si>
  <si>
    <t>DoU        Nuvärde (kr)</t>
  </si>
  <si>
    <t>DoU                     S:a nuvärden (kr)</t>
  </si>
  <si>
    <t>Årlig hyra (kr)</t>
  </si>
  <si>
    <t>Hyra                 Nuvärde (kr)</t>
  </si>
  <si>
    <t>Hyra                   S:a nuvärden (kr)</t>
  </si>
  <si>
    <t>Summa nuvärde</t>
  </si>
  <si>
    <t>Koll årlig DoH</t>
  </si>
  <si>
    <t>Koll årlig hyra</t>
  </si>
  <si>
    <t>Driftnetto</t>
  </si>
  <si>
    <t>Nuvärde</t>
  </si>
  <si>
    <t>KOLL</t>
  </si>
  <si>
    <t>Fyll i normhyra, antal rum och yta. Systemet räknar ut faktisk hyra per år resp. månad</t>
  </si>
  <si>
    <t>Rh -91</t>
  </si>
  <si>
    <t>Norm -91
Faktisk årshyra</t>
  </si>
  <si>
    <t>Energi</t>
  </si>
  <si>
    <t>Vatten och avlopp</t>
  </si>
  <si>
    <t>Försäkring byggnader</t>
  </si>
  <si>
    <t>Fastighetsskötsel</t>
  </si>
  <si>
    <t>Vägsamfällighet</t>
  </si>
  <si>
    <t>Ränta på lån</t>
  </si>
  <si>
    <t>Amortering</t>
  </si>
  <si>
    <t>SEK</t>
  </si>
  <si>
    <t>/M2</t>
  </si>
  <si>
    <t>Antal kvadratmeter</t>
  </si>
  <si>
    <t xml:space="preserve">Direkt drift </t>
  </si>
  <si>
    <t xml:space="preserve">                             *97,5% beläggning</t>
  </si>
  <si>
    <t>Borgen</t>
  </si>
  <si>
    <t>Privata bolag kommun                 &lt;75 000 inv</t>
  </si>
  <si>
    <t>Norm -91
Faktisk månads-hyra</t>
  </si>
  <si>
    <t>Region: Storstad exkl Sthlm, Gbg, Mö</t>
  </si>
  <si>
    <t>Stockholm innerstad</t>
  </si>
  <si>
    <t>Övr större tätorter</t>
  </si>
  <si>
    <t>Landsbygd</t>
  </si>
  <si>
    <t>Norrlands inland</t>
  </si>
  <si>
    <t>Förhöjt bidr*</t>
  </si>
  <si>
    <t>* Gränsvärde</t>
  </si>
  <si>
    <t>Max 28  kWh/m2/år  (&lt;56% av BBR 5+ kWh/m2/år</t>
  </si>
  <si>
    <t>Övriga kostnader</t>
  </si>
  <si>
    <t xml:space="preserve">Driftskostnader  </t>
  </si>
  <si>
    <t>Stockholmsregionen</t>
  </si>
  <si>
    <t>Övriga landet</t>
  </si>
  <si>
    <t>Basbidrag per region BOA</t>
  </si>
  <si>
    <t xml:space="preserve">            SEK/m2  BOA</t>
  </si>
  <si>
    <t>Driftskostnader exkl finansiella kostnader och avskrivningar</t>
  </si>
  <si>
    <t>Avkastn. på invest. kapital....</t>
  </si>
  <si>
    <t>Räntekostnader  (+50% fr 2026)</t>
  </si>
  <si>
    <t>Pris / m2 / år</t>
  </si>
  <si>
    <t xml:space="preserve"> Vakans inräknad</t>
  </si>
  <si>
    <t>Amort  55 år</t>
  </si>
  <si>
    <t>Kommunal borgen</t>
  </si>
  <si>
    <t>Övrig exploatering: vägbreddning</t>
  </si>
  <si>
    <t>Besiktning energi och byggkontroll</t>
  </si>
  <si>
    <t>Bygglov, nybyggnadskarta, utsättning mm</t>
  </si>
  <si>
    <t>Exploateringskostnader</t>
  </si>
  <si>
    <t>Byggnad C+D+E</t>
  </si>
  <si>
    <t>Netto</t>
  </si>
  <si>
    <t>på maximalt 22 000/m2</t>
  </si>
  <si>
    <t>Kalkylerad prod.kostnad MSEK</t>
  </si>
  <si>
    <t xml:space="preserve">vid en produktionskostnad </t>
  </si>
  <si>
    <t>Prod kostn / m2</t>
  </si>
  <si>
    <t>Referensvärden och antaganden  avseende kalkylränta</t>
  </si>
  <si>
    <t>Beräkning av överkompensation</t>
  </si>
  <si>
    <t>Resultaträkning Ortsnamnet Utveckling AB (svb)</t>
  </si>
  <si>
    <t xml:space="preserve">Hyreslägenheter </t>
  </si>
  <si>
    <t>X hus Y lägenheter</t>
  </si>
  <si>
    <t>Referens</t>
  </si>
  <si>
    <t>Pantbrev (Estimera lånebehov)</t>
  </si>
  <si>
    <t>Eventuell rebatt</t>
  </si>
  <si>
    <t>Arbete och resor</t>
  </si>
  <si>
    <t>Övriga byggherrekostnader,  buffert</t>
  </si>
  <si>
    <t>Byggnation huskroppar</t>
  </si>
  <si>
    <t>Övriga byggherrekostnader</t>
  </si>
  <si>
    <t>Byggherrekostnader totalt</t>
  </si>
  <si>
    <t>Statligt investeringsstöd, illustration</t>
  </si>
  <si>
    <t>Produktionskalkyl</t>
  </si>
  <si>
    <r>
      <t xml:space="preserve">Intäkts och produktionskalkyl </t>
    </r>
    <r>
      <rPr>
        <b/>
        <i/>
        <sz val="14"/>
        <color theme="1"/>
        <rFont val="Calibri"/>
        <family val="2"/>
        <scheme val="minor"/>
      </rPr>
      <t>Projektnamn, Fastighetsbeteckning</t>
    </r>
  </si>
  <si>
    <r>
      <rPr>
        <b/>
        <sz val="18"/>
        <color theme="1"/>
        <rFont val="Calibri"/>
        <family val="2"/>
        <scheme val="minor"/>
      </rPr>
      <t xml:space="preserve"> Produktionskalkyl</t>
    </r>
    <r>
      <rPr>
        <b/>
        <i/>
        <sz val="18"/>
        <color theme="1"/>
        <rFont val="Calibri"/>
        <family val="2"/>
        <scheme val="minor"/>
      </rPr>
      <t xml:space="preserve"> Projekt, fastighet; uppföljning</t>
    </r>
  </si>
  <si>
    <t>MODELL FÖR BERÄKNING AV ÖVERKOMPENSATION, version 1.0, Boverket</t>
  </si>
  <si>
    <t>Referenser för insatsdata för i en produktionskalkyl</t>
  </si>
  <si>
    <t>Nybyggnadskarta</t>
  </si>
  <si>
    <t xml:space="preserve">   Fastställ lägenhets-</t>
  </si>
  <si>
    <t xml:space="preserve">   storlek och antal.</t>
  </si>
  <si>
    <t>Norm -91
hyra 77m² 3 ROK</t>
  </si>
  <si>
    <r>
      <t>Normhyra</t>
    </r>
    <r>
      <rPr>
        <sz val="11"/>
        <rFont val="Arial"/>
        <family val="2"/>
      </rPr>
      <t>:</t>
    </r>
  </si>
  <si>
    <t>(maximalt hyresuttag):</t>
  </si>
  <si>
    <t>Källan: Q7</t>
  </si>
  <si>
    <t>Källan: Q8</t>
  </si>
  <si>
    <t>Källan: Q9</t>
  </si>
  <si>
    <t>Källan: Q10</t>
  </si>
  <si>
    <t xml:space="preserve">Äldre publika referenser till insatsdata </t>
  </si>
  <si>
    <t xml:space="preserve">Insatsdata från Stavsjögården i Stavsjö </t>
  </si>
  <si>
    <t>Byggande organisation</t>
  </si>
  <si>
    <t>Ort och 1:1</t>
  </si>
  <si>
    <t>00 000 000</t>
  </si>
  <si>
    <t>Hämta från Referensundelag:Cell C31</t>
  </si>
  <si>
    <t>Första estimat för produktionskostnad</t>
  </si>
  <si>
    <t xml:space="preserve">Att användas för temporär beräkning av kostnaden för pantbrev. </t>
  </si>
  <si>
    <t xml:space="preserve">När produktionskostnaden är beräknad ersätts estimatet med </t>
  </si>
  <si>
    <t>den nu beräknade produktionskostnaden.</t>
  </si>
  <si>
    <t>Första estimat:</t>
  </si>
  <si>
    <t>Volym M2</t>
  </si>
  <si>
    <t>Produktionskostnad per M2</t>
  </si>
  <si>
    <t>Produktionskostnad SEK</t>
  </si>
  <si>
    <t xml:space="preserve">Brutto produktionskostnad *2%; </t>
  </si>
  <si>
    <t>Hämta från Referensunderlag Cell C46</t>
  </si>
  <si>
    <t>Hämta från Stöd Boverket (Cell K13)*0,8%</t>
  </si>
  <si>
    <t>8 lägenheter   596 m2</t>
  </si>
  <si>
    <t>Kvartal 1</t>
  </si>
  <si>
    <t>Kostnaden för pengar</t>
  </si>
  <si>
    <t>Lyft #</t>
  </si>
  <si>
    <t>Ränte-sats</t>
  </si>
  <si>
    <t>Lyft Belopp</t>
  </si>
  <si>
    <t>Ack. lyft i MSEK</t>
  </si>
  <si>
    <t>Månad för lyft (1 till 12)</t>
  </si>
  <si>
    <t>Dag i månaden för lyft</t>
  </si>
  <si>
    <t>Lånets längd av 1 år</t>
  </si>
  <si>
    <t>Kostnad</t>
  </si>
  <si>
    <t>Beräknad ränta</t>
  </si>
  <si>
    <t>MSEK</t>
  </si>
  <si>
    <t>Korrige-rings-poäng</t>
  </si>
  <si>
    <t xml:space="preserve"> Summa hyresintäkter</t>
  </si>
  <si>
    <t>Antal rum (ROK)</t>
  </si>
  <si>
    <t>Antal ROK</t>
  </si>
  <si>
    <t>Stockholmsnära kommuner, Göteborgs- &amp; Malmöregionerna, övriga stora kommuner utanför Sthlmsregionen</t>
  </si>
  <si>
    <t xml:space="preserve">          Välj K19,K20 eller K21</t>
  </si>
  <si>
    <r>
      <t xml:space="preserve">Reparation och underhåll; </t>
    </r>
    <r>
      <rPr>
        <sz val="11"/>
        <color rgb="FFFF0000"/>
        <rFont val="Calibri"/>
        <family val="2"/>
        <scheme val="minor"/>
      </rPr>
      <t>Ej realiserat estimat</t>
    </r>
  </si>
  <si>
    <t>Besiktning energikontroll</t>
  </si>
  <si>
    <t>Utredning dagvatten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</si>
</sst>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r&quot;;[Red]\-#,##0\ &quot;kr&quot;"/>
    <numFmt numFmtId="164" formatCode="_-* #,##0.00\ _k_r_-;\-* #,##0.00\ _k_r_-;_-* &quot;-&quot;??\ _k_r_-;_-@_-"/>
    <numFmt numFmtId="165" formatCode="_-* #,##0\ _k_r_-;\-* #,##0\ _k_r_-;_-* &quot;-&quot;??\ _k_r_-;_-@_-"/>
    <numFmt numFmtId="166" formatCode="0.0%"/>
    <numFmt numFmtId="167" formatCode="#,##0\ &quot;kr&quot;"/>
    <numFmt numFmtId="168" formatCode="0.000"/>
    <numFmt numFmtId="169" formatCode="0.0"/>
    <numFmt numFmtId="170" formatCode="#,##0.00\ &quot;kr&quot;"/>
    <numFmt numFmtId="171" formatCode="0.0000"/>
    <numFmt numFmtId="172" formatCode="_-* #,##0.0\ _k_r_-;\-* #,##0.0\ _k_r_-;_-* &quot;-&quot;??\ _k_r_-;_-@_-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90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2" xfId="0" applyBorder="1"/>
    <xf numFmtId="165" fontId="3" fillId="0" borderId="1" xfId="1" applyNumberFormat="1" applyFont="1" applyBorder="1"/>
    <xf numFmtId="165" fontId="0" fillId="0" borderId="12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3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3" fillId="2" borderId="1" xfId="0" applyFon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1" applyNumberFormat="1" applyFont="1"/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65" fontId="4" fillId="4" borderId="1" xfId="0" applyNumberFormat="1" applyFont="1" applyFill="1" applyBorder="1"/>
    <xf numFmtId="165" fontId="3" fillId="4" borderId="1" xfId="0" applyNumberFormat="1" applyFont="1" applyFill="1" applyBorder="1"/>
    <xf numFmtId="0" fontId="3" fillId="4" borderId="1" xfId="0" applyFont="1" applyFill="1" applyBorder="1"/>
    <xf numFmtId="165" fontId="0" fillId="0" borderId="20" xfId="1" applyNumberFormat="1" applyFont="1" applyBorder="1"/>
    <xf numFmtId="165" fontId="11" fillId="0" borderId="20" xfId="1" applyNumberFormat="1" applyFont="1" applyBorder="1"/>
    <xf numFmtId="0" fontId="3" fillId="4" borderId="1" xfId="0" applyFont="1" applyFill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4" borderId="9" xfId="1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24" xfId="0" applyBorder="1"/>
    <xf numFmtId="0" fontId="0" fillId="0" borderId="25" xfId="0" applyBorder="1"/>
    <xf numFmtId="165" fontId="11" fillId="0" borderId="4" xfId="1" applyNumberFormat="1" applyFont="1" applyBorder="1"/>
    <xf numFmtId="165" fontId="9" fillId="4" borderId="1" xfId="1" applyNumberFormat="1" applyFont="1" applyFill="1" applyBorder="1"/>
    <xf numFmtId="0" fontId="0" fillId="2" borderId="21" xfId="0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5" fontId="3" fillId="2" borderId="21" xfId="1" applyNumberFormat="1" applyFont="1" applyFill="1" applyBorder="1" applyAlignment="1">
      <alignment vertical="center"/>
    </xf>
    <xf numFmtId="165" fontId="0" fillId="0" borderId="20" xfId="1" applyNumberFormat="1" applyFont="1" applyBorder="1" applyAlignment="1">
      <alignment vertical="center"/>
    </xf>
    <xf numFmtId="165" fontId="0" fillId="0" borderId="22" xfId="1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165" fontId="0" fillId="0" borderId="4" xfId="1" applyNumberFormat="1" applyFont="1" applyBorder="1" applyAlignment="1">
      <alignment vertical="center"/>
    </xf>
    <xf numFmtId="165" fontId="11" fillId="0" borderId="20" xfId="1" applyNumberFormat="1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165" fontId="0" fillId="0" borderId="28" xfId="1" applyNumberFormat="1" applyFont="1" applyBorder="1"/>
    <xf numFmtId="0" fontId="3" fillId="2" borderId="30" xfId="0" applyFont="1" applyFill="1" applyBorder="1" applyAlignment="1">
      <alignment horizontal="center"/>
    </xf>
    <xf numFmtId="0" fontId="0" fillId="2" borderId="21" xfId="0" applyFill="1" applyBorder="1" applyAlignment="1">
      <alignment vertical="center" wrapText="1"/>
    </xf>
    <xf numFmtId="0" fontId="17" fillId="0" borderId="0" xfId="0" applyFont="1"/>
    <xf numFmtId="0" fontId="3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17" xfId="0" applyBorder="1"/>
    <xf numFmtId="0" fontId="3" fillId="6" borderId="0" xfId="0" applyFont="1" applyFill="1" applyAlignment="1">
      <alignment horizontal="center" vertical="center"/>
    </xf>
    <xf numFmtId="165" fontId="0" fillId="7" borderId="0" xfId="0" applyNumberFormat="1" applyFill="1"/>
    <xf numFmtId="0" fontId="3" fillId="8" borderId="0" xfId="0" applyFont="1" applyFill="1" applyAlignment="1">
      <alignment vertical="center"/>
    </xf>
    <xf numFmtId="0" fontId="0" fillId="8" borderId="0" xfId="0" applyFill="1"/>
    <xf numFmtId="0" fontId="3" fillId="8" borderId="0" xfId="0" applyFont="1" applyFill="1"/>
    <xf numFmtId="165" fontId="3" fillId="8" borderId="0" xfId="1" applyNumberFormat="1" applyFont="1" applyFill="1"/>
    <xf numFmtId="0" fontId="3" fillId="8" borderId="0" xfId="0" applyFont="1" applyFill="1" applyAlignment="1">
      <alignment horizontal="center" vertical="center"/>
    </xf>
    <xf numFmtId="165" fontId="3" fillId="8" borderId="0" xfId="1" applyNumberFormat="1" applyFont="1" applyFill="1" applyAlignment="1">
      <alignment vertical="center"/>
    </xf>
    <xf numFmtId="0" fontId="5" fillId="8" borderId="0" xfId="0" applyFont="1" applyFill="1"/>
    <xf numFmtId="0" fontId="18" fillId="8" borderId="0" xfId="0" applyFont="1" applyFill="1" applyAlignment="1">
      <alignment horizontal="left" vertical="center" wrapText="1"/>
    </xf>
    <xf numFmtId="0" fontId="0" fillId="8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0" fontId="17" fillId="8" borderId="0" xfId="0" applyFont="1" applyFill="1" applyAlignment="1">
      <alignment vertical="center" wrapText="1"/>
    </xf>
    <xf numFmtId="0" fontId="2" fillId="8" borderId="0" xfId="0" applyFont="1" applyFill="1"/>
    <xf numFmtId="0" fontId="17" fillId="8" borderId="0" xfId="0" applyFont="1" applyFill="1" applyAlignment="1">
      <alignment horizontal="right" vertical="center" wrapText="1"/>
    </xf>
    <xf numFmtId="0" fontId="0" fillId="8" borderId="0" xfId="0" applyFill="1" applyAlignment="1">
      <alignment wrapText="1"/>
    </xf>
    <xf numFmtId="165" fontId="0" fillId="8" borderId="0" xfId="0" applyNumberFormat="1" applyFill="1"/>
    <xf numFmtId="0" fontId="3" fillId="8" borderId="0" xfId="0" applyFont="1" applyFill="1" applyAlignment="1">
      <alignment vertical="center" wrapText="1"/>
    </xf>
    <xf numFmtId="0" fontId="17" fillId="8" borderId="0" xfId="0" applyFont="1" applyFill="1"/>
    <xf numFmtId="0" fontId="14" fillId="8" borderId="24" xfId="0" applyFont="1" applyFill="1" applyBorder="1"/>
    <xf numFmtId="0" fontId="15" fillId="8" borderId="24" xfId="0" applyFont="1" applyFill="1" applyBorder="1"/>
    <xf numFmtId="0" fontId="3" fillId="8" borderId="0" xfId="0" applyFont="1" applyFill="1" applyAlignment="1">
      <alignment wrapText="1"/>
    </xf>
    <xf numFmtId="0" fontId="4" fillId="8" borderId="0" xfId="0" applyFont="1" applyFill="1"/>
    <xf numFmtId="165" fontId="4" fillId="8" borderId="0" xfId="1" applyNumberFormat="1" applyFont="1" applyFill="1"/>
    <xf numFmtId="165" fontId="7" fillId="8" borderId="0" xfId="1" applyNumberFormat="1" applyFont="1" applyFill="1" applyAlignment="1">
      <alignment vertical="center"/>
    </xf>
    <xf numFmtId="0" fontId="3" fillId="0" borderId="19" xfId="0" applyFont="1" applyBorder="1"/>
    <xf numFmtId="165" fontId="25" fillId="0" borderId="19" xfId="0" applyNumberFormat="1" applyFont="1" applyBorder="1"/>
    <xf numFmtId="165" fontId="25" fillId="0" borderId="16" xfId="0" applyNumberFormat="1" applyFont="1" applyBorder="1"/>
    <xf numFmtId="0" fontId="14" fillId="8" borderId="24" xfId="0" applyFont="1" applyFill="1" applyBorder="1" applyAlignment="1">
      <alignment horizontal="center"/>
    </xf>
    <xf numFmtId="0" fontId="24" fillId="0" borderId="15" xfId="0" applyFont="1" applyBorder="1"/>
    <xf numFmtId="0" fontId="0" fillId="8" borderId="1" xfId="0" applyFill="1" applyBorder="1" applyAlignment="1">
      <alignment vertical="center" wrapText="1"/>
    </xf>
    <xf numFmtId="165" fontId="3" fillId="8" borderId="0" xfId="0" applyNumberFormat="1" applyFont="1" applyFill="1"/>
    <xf numFmtId="0" fontId="19" fillId="8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 wrapText="1"/>
    </xf>
    <xf numFmtId="0" fontId="9" fillId="8" borderId="0" xfId="0" applyFont="1" applyFill="1" applyAlignment="1">
      <alignment vertical="center" wrapText="1"/>
    </xf>
    <xf numFmtId="165" fontId="0" fillId="8" borderId="0" xfId="1" applyNumberFormat="1" applyFont="1" applyFill="1"/>
    <xf numFmtId="165" fontId="0" fillId="8" borderId="0" xfId="1" applyNumberFormat="1" applyFont="1" applyFill="1" applyAlignment="1">
      <alignment vertical="center"/>
    </xf>
    <xf numFmtId="165" fontId="2" fillId="8" borderId="0" xfId="1" applyNumberFormat="1" applyFont="1" applyFill="1" applyAlignment="1">
      <alignment vertical="center"/>
    </xf>
    <xf numFmtId="165" fontId="17" fillId="8" borderId="0" xfId="1" applyNumberFormat="1" applyFont="1" applyFill="1" applyAlignment="1">
      <alignment vertical="center"/>
    </xf>
    <xf numFmtId="165" fontId="14" fillId="0" borderId="1" xfId="1" applyNumberFormat="1" applyFont="1" applyBorder="1" applyAlignment="1">
      <alignment vertical="center"/>
    </xf>
    <xf numFmtId="165" fontId="14" fillId="0" borderId="0" xfId="1" applyNumberFormat="1" applyFont="1" applyAlignment="1">
      <alignment vertical="center"/>
    </xf>
    <xf numFmtId="165" fontId="14" fillId="8" borderId="0" xfId="1" applyNumberFormat="1" applyFont="1" applyFill="1" applyAlignment="1">
      <alignment vertical="center"/>
    </xf>
    <xf numFmtId="165" fontId="14" fillId="0" borderId="3" xfId="1" applyNumberFormat="1" applyFont="1" applyBorder="1" applyAlignment="1">
      <alignment vertical="center"/>
    </xf>
    <xf numFmtId="165" fontId="14" fillId="0" borderId="4" xfId="1" applyNumberFormat="1" applyFont="1" applyBorder="1"/>
    <xf numFmtId="165" fontId="14" fillId="0" borderId="20" xfId="1" applyNumberFormat="1" applyFont="1" applyBorder="1"/>
    <xf numFmtId="0" fontId="3" fillId="0" borderId="32" xfId="0" applyFont="1" applyBorder="1" applyAlignment="1">
      <alignment wrapText="1"/>
    </xf>
    <xf numFmtId="0" fontId="26" fillId="8" borderId="0" xfId="0" applyFont="1" applyFill="1"/>
    <xf numFmtId="0" fontId="26" fillId="6" borderId="0" xfId="0" applyFont="1" applyFill="1"/>
    <xf numFmtId="0" fontId="30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29" fillId="8" borderId="0" xfId="0" applyFont="1" applyFill="1" applyAlignment="1">
      <alignment vertical="center" wrapText="1"/>
    </xf>
    <xf numFmtId="14" fontId="0" fillId="8" borderId="0" xfId="0" applyNumberFormat="1" applyFill="1" applyAlignment="1">
      <alignment wrapText="1"/>
    </xf>
    <xf numFmtId="165" fontId="14" fillId="0" borderId="20" xfId="1" applyNumberFormat="1" applyFont="1" applyFill="1" applyBorder="1"/>
    <xf numFmtId="0" fontId="11" fillId="0" borderId="6" xfId="0" applyFont="1" applyBorder="1" applyAlignment="1">
      <alignment vertical="center" wrapText="1"/>
    </xf>
    <xf numFmtId="165" fontId="11" fillId="0" borderId="20" xfId="1" applyNumberFormat="1" applyFont="1" applyFill="1" applyBorder="1"/>
    <xf numFmtId="165" fontId="22" fillId="4" borderId="1" xfId="1" applyNumberFormat="1" applyFont="1" applyFill="1" applyBorder="1"/>
    <xf numFmtId="0" fontId="0" fillId="0" borderId="0" xfId="0" applyFont="1"/>
    <xf numFmtId="0" fontId="0" fillId="0" borderId="0" xfId="0" applyFill="1"/>
    <xf numFmtId="0" fontId="31" fillId="8" borderId="0" xfId="0" applyFont="1" applyFill="1"/>
    <xf numFmtId="0" fontId="31" fillId="0" borderId="1" xfId="0" applyFont="1" applyBorder="1" applyAlignment="1">
      <alignment vertical="center" wrapText="1"/>
    </xf>
    <xf numFmtId="0" fontId="31" fillId="8" borderId="0" xfId="0" applyFont="1" applyFill="1" applyAlignment="1">
      <alignment vertical="center" wrapText="1"/>
    </xf>
    <xf numFmtId="165" fontId="31" fillId="0" borderId="1" xfId="1" applyNumberFormat="1" applyFont="1" applyBorder="1"/>
    <xf numFmtId="0" fontId="31" fillId="0" borderId="0" xfId="0" applyFont="1"/>
    <xf numFmtId="0" fontId="32" fillId="8" borderId="0" xfId="0" applyFont="1" applyFill="1"/>
    <xf numFmtId="165" fontId="31" fillId="0" borderId="1" xfId="1" applyNumberFormat="1" applyFont="1" applyBorder="1" applyAlignment="1">
      <alignment vertical="center"/>
    </xf>
    <xf numFmtId="0" fontId="31" fillId="8" borderId="0" xfId="0" applyFont="1" applyFill="1" applyAlignment="1">
      <alignment vertical="center"/>
    </xf>
    <xf numFmtId="165" fontId="32" fillId="8" borderId="0" xfId="1" applyNumberFormat="1" applyFont="1" applyFill="1"/>
    <xf numFmtId="0" fontId="32" fillId="0" borderId="0" xfId="0" applyFont="1"/>
    <xf numFmtId="165" fontId="32" fillId="8" borderId="0" xfId="1" applyNumberFormat="1" applyFont="1" applyFill="1" applyAlignment="1">
      <alignment vertical="center"/>
    </xf>
    <xf numFmtId="0" fontId="0" fillId="0" borderId="0" xfId="0" applyBorder="1"/>
    <xf numFmtId="165" fontId="3" fillId="0" borderId="0" xfId="1" applyNumberFormat="1" applyFont="1" applyBorder="1" applyAlignment="1">
      <alignment vertical="center"/>
    </xf>
    <xf numFmtId="165" fontId="9" fillId="8" borderId="0" xfId="1" applyNumberFormat="1" applyFont="1" applyFill="1" applyBorder="1"/>
    <xf numFmtId="165" fontId="22" fillId="8" borderId="0" xfId="1" applyNumberFormat="1" applyFont="1" applyFill="1" applyBorder="1"/>
    <xf numFmtId="165" fontId="3" fillId="8" borderId="0" xfId="0" applyNumberFormat="1" applyFont="1" applyFill="1" applyBorder="1"/>
    <xf numFmtId="0" fontId="0" fillId="8" borderId="0" xfId="0" applyFill="1" applyBorder="1"/>
    <xf numFmtId="165" fontId="0" fillId="8" borderId="0" xfId="1" applyNumberFormat="1" applyFont="1" applyFill="1" applyBorder="1"/>
    <xf numFmtId="165" fontId="31" fillId="8" borderId="0" xfId="1" applyNumberFormat="1" applyFont="1" applyFill="1" applyBorder="1"/>
    <xf numFmtId="165" fontId="11" fillId="8" borderId="0" xfId="1" applyNumberFormat="1" applyFont="1" applyFill="1" applyBorder="1"/>
    <xf numFmtId="165" fontId="2" fillId="8" borderId="0" xfId="1" applyNumberFormat="1" applyFont="1" applyFill="1" applyBorder="1"/>
    <xf numFmtId="165" fontId="31" fillId="8" borderId="0" xfId="1" applyNumberFormat="1" applyFont="1" applyFill="1" applyBorder="1" applyAlignment="1">
      <alignment vertical="center"/>
    </xf>
    <xf numFmtId="165" fontId="3" fillId="8" borderId="0" xfId="1" applyNumberFormat="1" applyFont="1" applyFill="1" applyBorder="1" applyAlignment="1">
      <alignment vertical="center"/>
    </xf>
    <xf numFmtId="165" fontId="0" fillId="8" borderId="0" xfId="1" applyNumberFormat="1" applyFont="1" applyFill="1" applyBorder="1" applyAlignment="1">
      <alignment vertical="center"/>
    </xf>
    <xf numFmtId="165" fontId="11" fillId="8" borderId="0" xfId="1" applyNumberFormat="1" applyFont="1" applyFill="1" applyBorder="1" applyAlignment="1">
      <alignment vertical="center"/>
    </xf>
    <xf numFmtId="165" fontId="2" fillId="8" borderId="0" xfId="1" applyNumberFormat="1" applyFont="1" applyFill="1" applyBorder="1" applyAlignment="1">
      <alignment vertical="center"/>
    </xf>
    <xf numFmtId="0" fontId="12" fillId="8" borderId="0" xfId="0" applyFont="1" applyFill="1"/>
    <xf numFmtId="165" fontId="36" fillId="0" borderId="4" xfId="1" applyNumberFormat="1" applyFont="1" applyFill="1" applyBorder="1" applyAlignment="1">
      <alignment vertical="center"/>
    </xf>
    <xf numFmtId="165" fontId="37" fillId="0" borderId="20" xfId="1" applyNumberFormat="1" applyFont="1" applyFill="1" applyBorder="1" applyAlignment="1">
      <alignment vertical="center"/>
    </xf>
    <xf numFmtId="165" fontId="36" fillId="0" borderId="20" xfId="1" applyNumberFormat="1" applyFont="1" applyFill="1" applyBorder="1" applyAlignment="1">
      <alignment vertical="center"/>
    </xf>
    <xf numFmtId="165" fontId="36" fillId="0" borderId="22" xfId="1" applyNumberFormat="1" applyFont="1" applyFill="1" applyBorder="1" applyAlignment="1">
      <alignment vertical="center"/>
    </xf>
    <xf numFmtId="165" fontId="37" fillId="0" borderId="20" xfId="1" applyNumberFormat="1" applyFont="1" applyBorder="1"/>
    <xf numFmtId="165" fontId="36" fillId="0" borderId="20" xfId="1" applyNumberFormat="1" applyFont="1" applyFill="1" applyBorder="1"/>
    <xf numFmtId="165" fontId="36" fillId="0" borderId="20" xfId="1" applyNumberFormat="1" applyFont="1" applyBorder="1"/>
    <xf numFmtId="165" fontId="38" fillId="4" borderId="1" xfId="1" applyNumberFormat="1" applyFont="1" applyFill="1" applyBorder="1"/>
    <xf numFmtId="0" fontId="17" fillId="0" borderId="3" xfId="0" applyFont="1" applyBorder="1" applyAlignment="1">
      <alignment vertical="center" wrapText="1"/>
    </xf>
    <xf numFmtId="165" fontId="16" fillId="0" borderId="3" xfId="1" applyNumberFormat="1" applyFont="1" applyBorder="1" applyAlignment="1">
      <alignment vertical="center"/>
    </xf>
    <xf numFmtId="0" fontId="17" fillId="8" borderId="0" xfId="0" applyFont="1" applyFill="1" applyAlignment="1">
      <alignment vertical="center"/>
    </xf>
    <xf numFmtId="165" fontId="17" fillId="0" borderId="3" xfId="1" applyNumberFormat="1" applyFont="1" applyBorder="1" applyAlignment="1">
      <alignment vertical="center"/>
    </xf>
    <xf numFmtId="165" fontId="17" fillId="8" borderId="0" xfId="1" applyNumberFormat="1" applyFont="1" applyFill="1" applyBorder="1" applyAlignment="1">
      <alignment vertical="center"/>
    </xf>
    <xf numFmtId="165" fontId="3" fillId="9" borderId="8" xfId="0" applyNumberFormat="1" applyFont="1" applyFill="1" applyBorder="1"/>
    <xf numFmtId="168" fontId="3" fillId="9" borderId="33" xfId="0" applyNumberFormat="1" applyFont="1" applyFill="1" applyBorder="1"/>
    <xf numFmtId="166" fontId="3" fillId="9" borderId="36" xfId="2" applyNumberFormat="1" applyFont="1" applyFill="1" applyBorder="1"/>
    <xf numFmtId="0" fontId="0" fillId="9" borderId="27" xfId="0" applyFill="1" applyBorder="1"/>
    <xf numFmtId="0" fontId="0" fillId="9" borderId="0" xfId="0" applyFill="1" applyBorder="1"/>
    <xf numFmtId="0" fontId="0" fillId="9" borderId="37" xfId="0" applyFill="1" applyBorder="1"/>
    <xf numFmtId="0" fontId="3" fillId="9" borderId="26" xfId="0" applyFont="1" applyFill="1" applyBorder="1"/>
    <xf numFmtId="0" fontId="7" fillId="9" borderId="17" xfId="0" applyFont="1" applyFill="1" applyBorder="1"/>
    <xf numFmtId="166" fontId="3" fillId="9" borderId="18" xfId="2" applyNumberFormat="1" applyFont="1" applyFill="1" applyBorder="1"/>
    <xf numFmtId="0" fontId="3" fillId="0" borderId="1" xfId="0" applyFont="1" applyBorder="1" applyAlignment="1">
      <alignment horizontal="center"/>
    </xf>
    <xf numFmtId="0" fontId="3" fillId="10" borderId="1" xfId="0" applyFont="1" applyFill="1" applyBorder="1"/>
    <xf numFmtId="165" fontId="3" fillId="0" borderId="9" xfId="1" applyNumberFormat="1" applyFont="1" applyFill="1" applyBorder="1"/>
    <xf numFmtId="0" fontId="0" fillId="0" borderId="42" xfId="0" applyBorder="1" applyAlignment="1">
      <alignment horizontal="center"/>
    </xf>
    <xf numFmtId="165" fontId="0" fillId="5" borderId="34" xfId="0" applyNumberFormat="1" applyFill="1" applyBorder="1"/>
    <xf numFmtId="165" fontId="0" fillId="5" borderId="37" xfId="1" applyNumberFormat="1" applyFont="1" applyFill="1" applyBorder="1"/>
    <xf numFmtId="165" fontId="0" fillId="7" borderId="43" xfId="0" applyNumberFormat="1" applyFill="1" applyBorder="1"/>
    <xf numFmtId="165" fontId="0" fillId="7" borderId="37" xfId="0" applyNumberFormat="1" applyFill="1" applyBorder="1"/>
    <xf numFmtId="165" fontId="0" fillId="7" borderId="18" xfId="0" applyNumberFormat="1" applyFill="1" applyBorder="1"/>
    <xf numFmtId="165" fontId="0" fillId="7" borderId="40" xfId="1" applyNumberFormat="1" applyFont="1" applyFill="1" applyBorder="1"/>
    <xf numFmtId="165" fontId="0" fillId="7" borderId="34" xfId="1" applyNumberFormat="1" applyFont="1" applyFill="1" applyBorder="1"/>
    <xf numFmtId="165" fontId="0" fillId="7" borderId="35" xfId="1" applyNumberFormat="1" applyFont="1" applyFill="1" applyBorder="1"/>
    <xf numFmtId="0" fontId="3" fillId="10" borderId="26" xfId="0" applyFont="1" applyFill="1" applyBorder="1"/>
    <xf numFmtId="0" fontId="0" fillId="0" borderId="32" xfId="0" applyBorder="1"/>
    <xf numFmtId="0" fontId="0" fillId="0" borderId="31" xfId="0" applyBorder="1"/>
    <xf numFmtId="0" fontId="5" fillId="0" borderId="2" xfId="0" applyFont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0" fillId="0" borderId="37" xfId="0" applyBorder="1"/>
    <xf numFmtId="0" fontId="0" fillId="0" borderId="18" xfId="0" applyBorder="1"/>
    <xf numFmtId="0" fontId="39" fillId="0" borderId="0" xfId="0" applyFont="1"/>
    <xf numFmtId="0" fontId="0" fillId="0" borderId="27" xfId="0" applyBorder="1"/>
    <xf numFmtId="165" fontId="31" fillId="7" borderId="2" xfId="1" applyNumberFormat="1" applyFont="1" applyFill="1" applyBorder="1" applyAlignment="1">
      <alignment wrapText="1"/>
    </xf>
    <xf numFmtId="165" fontId="31" fillId="7" borderId="31" xfId="1" applyNumberFormat="1" applyFont="1" applyFill="1" applyBorder="1" applyAlignment="1">
      <alignment wrapText="1"/>
    </xf>
    <xf numFmtId="0" fontId="3" fillId="0" borderId="26" xfId="0" applyFont="1" applyBorder="1"/>
    <xf numFmtId="165" fontId="0" fillId="0" borderId="0" xfId="0" applyNumberFormat="1" applyFill="1"/>
    <xf numFmtId="0" fontId="42" fillId="11" borderId="3" xfId="0" applyFont="1" applyFill="1" applyBorder="1"/>
    <xf numFmtId="0" fontId="42" fillId="11" borderId="3" xfId="0" applyFont="1" applyFill="1" applyBorder="1" applyAlignment="1">
      <alignment wrapText="1"/>
    </xf>
    <xf numFmtId="1" fontId="42" fillId="11" borderId="3" xfId="0" applyNumberFormat="1" applyFont="1" applyFill="1" applyBorder="1" applyAlignment="1">
      <alignment wrapText="1"/>
    </xf>
    <xf numFmtId="0" fontId="0" fillId="0" borderId="3" xfId="0" applyBorder="1"/>
    <xf numFmtId="1" fontId="0" fillId="12" borderId="3" xfId="0" applyNumberFormat="1" applyFill="1" applyBorder="1"/>
    <xf numFmtId="0" fontId="0" fillId="0" borderId="45" xfId="0" applyBorder="1"/>
    <xf numFmtId="0" fontId="0" fillId="0" borderId="46" xfId="0" applyBorder="1"/>
    <xf numFmtId="1" fontId="0" fillId="12" borderId="45" xfId="0" applyNumberFormat="1" applyFill="1" applyBorder="1"/>
    <xf numFmtId="0" fontId="0" fillId="13" borderId="0" xfId="0" applyFill="1" applyAlignment="1" applyProtection="1">
      <alignment horizontal="left"/>
      <protection locked="0"/>
    </xf>
    <xf numFmtId="6" fontId="0" fillId="13" borderId="0" xfId="0" applyNumberFormat="1" applyFill="1" applyAlignment="1" applyProtection="1">
      <alignment horizontal="center" vertical="center"/>
      <protection locked="0"/>
    </xf>
    <xf numFmtId="0" fontId="43" fillId="0" borderId="27" xfId="0" applyFont="1" applyBorder="1"/>
    <xf numFmtId="10" fontId="0" fillId="0" borderId="0" xfId="0" applyNumberFormat="1" applyAlignment="1">
      <alignment horizontal="center"/>
    </xf>
    <xf numFmtId="0" fontId="0" fillId="0" borderId="27" xfId="0" applyBorder="1" applyAlignment="1">
      <alignment horizontal="left" vertical="center" indent="1"/>
    </xf>
    <xf numFmtId="0" fontId="43" fillId="0" borderId="27" xfId="0" applyFont="1" applyBorder="1" applyAlignment="1">
      <alignment horizontal="left" vertical="center"/>
    </xf>
    <xf numFmtId="0" fontId="43" fillId="0" borderId="27" xfId="0" applyFont="1" applyBorder="1" applyAlignment="1">
      <alignment horizontal="left"/>
    </xf>
    <xf numFmtId="0" fontId="43" fillId="0" borderId="37" xfId="0" applyFont="1" applyBorder="1" applyAlignment="1">
      <alignment horizontal="center"/>
    </xf>
    <xf numFmtId="0" fontId="0" fillId="0" borderId="27" xfId="0" applyBorder="1" applyAlignment="1">
      <alignment horizontal="left" indent="1"/>
    </xf>
    <xf numFmtId="167" fontId="0" fillId="0" borderId="37" xfId="0" applyNumberFormat="1" applyBorder="1" applyAlignment="1">
      <alignment horizontal="center"/>
    </xf>
    <xf numFmtId="169" fontId="0" fillId="13" borderId="0" xfId="0" applyNumberFormat="1" applyFill="1" applyAlignment="1" applyProtection="1">
      <alignment horizontal="center"/>
      <protection locked="0"/>
    </xf>
    <xf numFmtId="167" fontId="0" fillId="0" borderId="17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 wrapText="1"/>
    </xf>
    <xf numFmtId="167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13" xfId="0" applyNumberForma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24" xfId="2" applyNumberFormat="1" applyFon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0" fontId="47" fillId="0" borderId="3" xfId="0" applyFont="1" applyBorder="1"/>
    <xf numFmtId="1" fontId="47" fillId="15" borderId="3" xfId="0" applyNumberFormat="1" applyFont="1" applyFill="1" applyBorder="1"/>
    <xf numFmtId="1" fontId="0" fillId="0" borderId="3" xfId="0" applyNumberFormat="1" applyBorder="1"/>
    <xf numFmtId="1" fontId="0" fillId="0" borderId="45" xfId="0" applyNumberFormat="1" applyBorder="1"/>
    <xf numFmtId="0" fontId="5" fillId="0" borderId="0" xfId="0" applyFont="1" applyAlignment="1">
      <alignment vertical="center"/>
    </xf>
    <xf numFmtId="0" fontId="51" fillId="0" borderId="31" xfId="0" applyFont="1" applyBorder="1" applyAlignment="1">
      <alignment horizontal="center" vertical="center"/>
    </xf>
    <xf numFmtId="165" fontId="37" fillId="4" borderId="1" xfId="1" applyNumberFormat="1" applyFont="1" applyFill="1" applyBorder="1"/>
    <xf numFmtId="0" fontId="3" fillId="2" borderId="29" xfId="0" applyFont="1" applyFill="1" applyBorder="1" applyAlignment="1">
      <alignment wrapTex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169" fontId="47" fillId="0" borderId="3" xfId="0" applyNumberFormat="1" applyFont="1" applyBorder="1"/>
    <xf numFmtId="0" fontId="0" fillId="0" borderId="3" xfId="0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51" fillId="0" borderId="2" xfId="0" applyFont="1" applyBorder="1" applyAlignment="1">
      <alignment horizontal="center" vertical="center"/>
    </xf>
    <xf numFmtId="0" fontId="3" fillId="2" borderId="38" xfId="0" applyFont="1" applyFill="1" applyBorder="1" applyAlignment="1">
      <alignment wrapText="1"/>
    </xf>
    <xf numFmtId="0" fontId="3" fillId="2" borderId="39" xfId="0" applyFont="1" applyFill="1" applyBorder="1" applyAlignment="1">
      <alignment horizontal="center" wrapText="1"/>
    </xf>
    <xf numFmtId="165" fontId="0" fillId="0" borderId="41" xfId="1" applyNumberFormat="1" applyFont="1" applyBorder="1"/>
    <xf numFmtId="165" fontId="0" fillId="0" borderId="42" xfId="1" applyNumberFormat="1" applyFont="1" applyBorder="1"/>
    <xf numFmtId="165" fontId="0" fillId="0" borderId="50" xfId="1" applyNumberFormat="1" applyFont="1" applyBorder="1"/>
    <xf numFmtId="0" fontId="3" fillId="2" borderId="51" xfId="0" applyFont="1" applyFill="1" applyBorder="1" applyAlignment="1">
      <alignment horizontal="center"/>
    </xf>
    <xf numFmtId="165" fontId="3" fillId="2" borderId="52" xfId="1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1" fontId="3" fillId="0" borderId="40" xfId="0" applyNumberFormat="1" applyFont="1" applyBorder="1" applyAlignment="1">
      <alignment horizontal="center"/>
    </xf>
    <xf numFmtId="0" fontId="3" fillId="2" borderId="21" xfId="0" applyFont="1" applyFill="1" applyBorder="1"/>
    <xf numFmtId="0" fontId="3" fillId="0" borderId="54" xfId="0" applyFont="1" applyBorder="1"/>
    <xf numFmtId="165" fontId="0" fillId="8" borderId="0" xfId="0" applyNumberFormat="1" applyFill="1" applyBorder="1"/>
    <xf numFmtId="165" fontId="3" fillId="8" borderId="0" xfId="1" applyNumberFormat="1" applyFont="1" applyFill="1" applyBorder="1"/>
    <xf numFmtId="0" fontId="0" fillId="8" borderId="0" xfId="0" applyFill="1" applyBorder="1" applyAlignment="1">
      <alignment wrapText="1"/>
    </xf>
    <xf numFmtId="0" fontId="33" fillId="0" borderId="17" xfId="0" applyFont="1" applyBorder="1" applyAlignment="1">
      <alignment vertical="center"/>
    </xf>
    <xf numFmtId="3" fontId="56" fillId="13" borderId="0" xfId="0" applyNumberFormat="1" applyFont="1" applyFill="1" applyAlignment="1" applyProtection="1">
      <alignment horizontal="left"/>
      <protection locked="0"/>
    </xf>
    <xf numFmtId="6" fontId="2" fillId="13" borderId="0" xfId="0" applyNumberFormat="1" applyFont="1" applyFill="1" applyAlignment="1" applyProtection="1">
      <alignment horizontal="center" vertical="center"/>
      <protection locked="0"/>
    </xf>
    <xf numFmtId="1" fontId="57" fillId="15" borderId="3" xfId="0" applyNumberFormat="1" applyFont="1" applyFill="1" applyBorder="1"/>
    <xf numFmtId="0" fontId="33" fillId="0" borderId="27" xfId="0" applyFont="1" applyBorder="1"/>
    <xf numFmtId="0" fontId="33" fillId="0" borderId="0" xfId="0" applyFont="1" applyBorder="1"/>
    <xf numFmtId="0" fontId="2" fillId="0" borderId="0" xfId="0" applyFont="1" applyBorder="1"/>
    <xf numFmtId="1" fontId="3" fillId="0" borderId="5" xfId="0" applyNumberFormat="1" applyFont="1" applyBorder="1" applyAlignment="1">
      <alignment horizontal="center"/>
    </xf>
    <xf numFmtId="166" fontId="3" fillId="3" borderId="5" xfId="2" applyNumberFormat="1" applyFont="1" applyFill="1" applyBorder="1" applyAlignment="1">
      <alignment horizontal="center"/>
    </xf>
    <xf numFmtId="165" fontId="3" fillId="3" borderId="5" xfId="1" applyNumberFormat="1" applyFont="1" applyFill="1" applyBorder="1" applyAlignment="1"/>
    <xf numFmtId="0" fontId="3" fillId="3" borderId="0" xfId="0" applyFont="1" applyFill="1" applyBorder="1" applyAlignment="1">
      <alignment horizontal="center"/>
    </xf>
    <xf numFmtId="165" fontId="4" fillId="0" borderId="26" xfId="1" applyNumberFormat="1" applyFont="1" applyBorder="1"/>
    <xf numFmtId="0" fontId="0" fillId="3" borderId="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5" fontId="3" fillId="0" borderId="31" xfId="1" applyNumberFormat="1" applyFont="1" applyBorder="1" applyAlignment="1">
      <alignment vertical="center"/>
    </xf>
    <xf numFmtId="165" fontId="3" fillId="0" borderId="55" xfId="1" applyNumberFormat="1" applyFont="1" applyBorder="1" applyAlignment="1">
      <alignment vertical="center"/>
    </xf>
    <xf numFmtId="165" fontId="3" fillId="16" borderId="0" xfId="0" applyNumberFormat="1" applyFont="1" applyFill="1" applyAlignment="1"/>
    <xf numFmtId="165" fontId="3" fillId="16" borderId="0" xfId="1" applyNumberFormat="1" applyFont="1" applyFill="1"/>
    <xf numFmtId="1" fontId="62" fillId="0" borderId="31" xfId="0" applyNumberFormat="1" applyFont="1" applyBorder="1" applyAlignment="1">
      <alignment horizontal="center"/>
    </xf>
    <xf numFmtId="165" fontId="62" fillId="0" borderId="2" xfId="1" applyNumberFormat="1" applyFont="1" applyBorder="1"/>
    <xf numFmtId="165" fontId="0" fillId="4" borderId="27" xfId="1" applyNumberFormat="1" applyFont="1" applyFill="1" applyBorder="1"/>
    <xf numFmtId="1" fontId="0" fillId="4" borderId="37" xfId="0" applyNumberForma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5" fillId="8" borderId="2" xfId="0" applyFont="1" applyFill="1" applyBorder="1"/>
    <xf numFmtId="0" fontId="5" fillId="8" borderId="32" xfId="0" applyFont="1" applyFill="1" applyBorder="1"/>
    <xf numFmtId="0" fontId="5" fillId="0" borderId="31" xfId="0" applyFont="1" applyBorder="1"/>
    <xf numFmtId="0" fontId="5" fillId="8" borderId="2" xfId="0" applyFont="1" applyFill="1" applyBorder="1" applyAlignment="1">
      <alignment horizontal="left"/>
    </xf>
    <xf numFmtId="0" fontId="0" fillId="8" borderId="27" xfId="0" applyFont="1" applyFill="1" applyBorder="1"/>
    <xf numFmtId="0" fontId="0" fillId="8" borderId="0" xfId="0" applyFont="1" applyFill="1" applyBorder="1"/>
    <xf numFmtId="0" fontId="0" fillId="3" borderId="27" xfId="0" applyFont="1" applyFill="1" applyBorder="1"/>
    <xf numFmtId="0" fontId="0" fillId="8" borderId="26" xfId="0" applyFont="1" applyFill="1" applyBorder="1"/>
    <xf numFmtId="0" fontId="0" fillId="8" borderId="17" xfId="0" applyFont="1" applyFill="1" applyBorder="1"/>
    <xf numFmtId="0" fontId="0" fillId="3" borderId="26" xfId="0" applyFont="1" applyFill="1" applyBorder="1"/>
    <xf numFmtId="0" fontId="62" fillId="3" borderId="37" xfId="0" applyFont="1" applyFill="1" applyBorder="1" applyAlignment="1">
      <alignment horizontal="center"/>
    </xf>
    <xf numFmtId="0" fontId="62" fillId="3" borderId="18" xfId="0" applyFont="1" applyFill="1" applyBorder="1" applyAlignment="1">
      <alignment horizontal="center"/>
    </xf>
    <xf numFmtId="0" fontId="10" fillId="8" borderId="0" xfId="0" applyFont="1" applyFill="1"/>
    <xf numFmtId="0" fontId="0" fillId="8" borderId="1" xfId="0" applyFill="1" applyBorder="1"/>
    <xf numFmtId="0" fontId="6" fillId="8" borderId="0" xfId="0" applyFont="1" applyFill="1"/>
    <xf numFmtId="0" fontId="21" fillId="8" borderId="0" xfId="0" applyFont="1" applyFill="1" applyAlignment="1">
      <alignment horizontal="center"/>
    </xf>
    <xf numFmtId="0" fontId="7" fillId="8" borderId="0" xfId="0" applyFont="1" applyFill="1"/>
    <xf numFmtId="0" fontId="20" fillId="8" borderId="0" xfId="0" applyFont="1" applyFill="1"/>
    <xf numFmtId="0" fontId="9" fillId="8" borderId="0" xfId="0" applyFont="1" applyFill="1"/>
    <xf numFmtId="0" fontId="3" fillId="8" borderId="0" xfId="0" applyFont="1" applyFill="1" applyAlignment="1">
      <alignment horizontal="right"/>
    </xf>
    <xf numFmtId="0" fontId="4" fillId="8" borderId="0" xfId="0" applyFont="1" applyFill="1" applyAlignment="1">
      <alignment horizontal="right"/>
    </xf>
    <xf numFmtId="0" fontId="9" fillId="8" borderId="0" xfId="0" applyFont="1" applyFill="1" applyAlignment="1">
      <alignment horizontal="right"/>
    </xf>
    <xf numFmtId="0" fontId="8" fillId="8" borderId="0" xfId="0" applyFont="1" applyFill="1" applyAlignment="1">
      <alignment horizontal="left"/>
    </xf>
    <xf numFmtId="0" fontId="7" fillId="8" borderId="0" xfId="0" applyFont="1" applyFill="1" applyAlignment="1">
      <alignment horizontal="right"/>
    </xf>
    <xf numFmtId="165" fontId="7" fillId="8" borderId="0" xfId="1" applyNumberFormat="1" applyFont="1" applyFill="1"/>
    <xf numFmtId="9" fontId="3" fillId="8" borderId="0" xfId="2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165" fontId="4" fillId="8" borderId="0" xfId="1" applyNumberFormat="1" applyFont="1" applyFill="1" applyBorder="1"/>
    <xf numFmtId="165" fontId="3" fillId="8" borderId="0" xfId="1" applyNumberFormat="1" applyFont="1" applyFill="1" applyBorder="1" applyAlignment="1">
      <alignment wrapText="1"/>
    </xf>
    <xf numFmtId="0" fontId="3" fillId="8" borderId="0" xfId="0" applyFont="1" applyFill="1" applyBorder="1"/>
    <xf numFmtId="0" fontId="3" fillId="4" borderId="26" xfId="0" applyFont="1" applyFill="1" applyBorder="1" applyAlignment="1">
      <alignment vertical="center"/>
    </xf>
    <xf numFmtId="0" fontId="3" fillId="4" borderId="47" xfId="0" applyFont="1" applyFill="1" applyBorder="1" applyAlignment="1">
      <alignment horizontal="center"/>
    </xf>
    <xf numFmtId="165" fontId="3" fillId="8" borderId="1" xfId="0" applyNumberFormat="1" applyFont="1" applyFill="1" applyBorder="1" applyAlignment="1">
      <alignment vertical="center"/>
    </xf>
    <xf numFmtId="165" fontId="3" fillId="8" borderId="0" xfId="0" applyNumberFormat="1" applyFont="1" applyFill="1" applyBorder="1" applyAlignment="1">
      <alignment vertical="center"/>
    </xf>
    <xf numFmtId="0" fontId="27" fillId="8" borderId="0" xfId="0" applyFont="1" applyFill="1"/>
    <xf numFmtId="0" fontId="28" fillId="8" borderId="0" xfId="0" applyFont="1" applyFill="1"/>
    <xf numFmtId="0" fontId="3" fillId="0" borderId="15" xfId="0" applyFont="1" applyBorder="1"/>
    <xf numFmtId="165" fontId="23" fillId="0" borderId="19" xfId="0" applyNumberFormat="1" applyFont="1" applyBorder="1"/>
    <xf numFmtId="165" fontId="23" fillId="0" borderId="16" xfId="0" applyNumberFormat="1" applyFont="1" applyBorder="1"/>
    <xf numFmtId="165" fontId="23" fillId="8" borderId="0" xfId="0" applyNumberFormat="1" applyFont="1" applyFill="1"/>
    <xf numFmtId="165" fontId="7" fillId="8" borderId="0" xfId="0" applyNumberFormat="1" applyFont="1" applyFill="1"/>
    <xf numFmtId="165" fontId="0" fillId="0" borderId="10" xfId="0" applyNumberFormat="1" applyFill="1" applyBorder="1"/>
    <xf numFmtId="165" fontId="0" fillId="0" borderId="12" xfId="0" applyNumberFormat="1" applyFill="1" applyBorder="1"/>
    <xf numFmtId="165" fontId="9" fillId="16" borderId="1" xfId="1" applyNumberFormat="1" applyFont="1" applyFill="1" applyBorder="1"/>
    <xf numFmtId="165" fontId="3" fillId="16" borderId="1" xfId="1" applyNumberFormat="1" applyFont="1" applyFill="1" applyBorder="1"/>
    <xf numFmtId="0" fontId="48" fillId="8" borderId="2" xfId="0" applyFont="1" applyFill="1" applyBorder="1" applyAlignment="1">
      <alignment horizontal="right"/>
    </xf>
    <xf numFmtId="165" fontId="48" fillId="8" borderId="31" xfId="1" applyNumberFormat="1" applyFont="1" applyFill="1" applyBorder="1"/>
    <xf numFmtId="0" fontId="6" fillId="8" borderId="0" xfId="0" applyFont="1" applyFill="1" applyAlignment="1">
      <alignment vertical="center" wrapText="1"/>
    </xf>
    <xf numFmtId="0" fontId="39" fillId="8" borderId="0" xfId="0" applyFont="1" applyFill="1" applyAlignment="1">
      <alignment vertical="center"/>
    </xf>
    <xf numFmtId="0" fontId="6" fillId="8" borderId="0" xfId="0" applyFont="1" applyFill="1" applyAlignment="1">
      <alignment wrapText="1"/>
    </xf>
    <xf numFmtId="0" fontId="49" fillId="8" borderId="2" xfId="0" applyFont="1" applyFill="1" applyBorder="1" applyAlignment="1">
      <alignment vertical="center" wrapText="1"/>
    </xf>
    <xf numFmtId="0" fontId="49" fillId="8" borderId="32" xfId="0" applyFont="1" applyFill="1" applyBorder="1" applyAlignment="1">
      <alignment vertical="center" wrapText="1"/>
    </xf>
    <xf numFmtId="0" fontId="49" fillId="8" borderId="32" xfId="0" applyFont="1" applyFill="1" applyBorder="1" applyAlignment="1">
      <alignment vertical="center"/>
    </xf>
    <xf numFmtId="0" fontId="49" fillId="8" borderId="31" xfId="0" applyFont="1" applyFill="1" applyBorder="1" applyAlignment="1">
      <alignment vertical="center"/>
    </xf>
    <xf numFmtId="0" fontId="49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50" fillId="8" borderId="2" xfId="0" applyFont="1" applyFill="1" applyBorder="1" applyAlignment="1">
      <alignment vertical="center" wrapText="1"/>
    </xf>
    <xf numFmtId="0" fontId="51" fillId="8" borderId="2" xfId="0" applyFont="1" applyFill="1" applyBorder="1" applyAlignment="1">
      <alignment vertical="center"/>
    </xf>
    <xf numFmtId="0" fontId="51" fillId="8" borderId="32" xfId="0" applyFont="1" applyFill="1" applyBorder="1" applyAlignment="1">
      <alignment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wrapText="1"/>
    </xf>
    <xf numFmtId="0" fontId="3" fillId="8" borderId="33" xfId="0" applyFont="1" applyFill="1" applyBorder="1" applyAlignment="1">
      <alignment wrapText="1"/>
    </xf>
    <xf numFmtId="0" fontId="0" fillId="8" borderId="33" xfId="0" applyFill="1" applyBorder="1"/>
    <xf numFmtId="0" fontId="0" fillId="8" borderId="36" xfId="0" applyFill="1" applyBorder="1"/>
    <xf numFmtId="0" fontId="0" fillId="8" borderId="8" xfId="0" applyFill="1" applyBorder="1" applyAlignment="1">
      <alignment wrapText="1"/>
    </xf>
    <xf numFmtId="0" fontId="0" fillId="8" borderId="8" xfId="0" applyFill="1" applyBorder="1" applyAlignment="1">
      <alignment vertical="center"/>
    </xf>
    <xf numFmtId="0" fontId="0" fillId="8" borderId="33" xfId="0" applyFill="1" applyBorder="1" applyAlignment="1">
      <alignment vertical="center"/>
    </xf>
    <xf numFmtId="165" fontId="0" fillId="8" borderId="8" xfId="1" applyNumberFormat="1" applyFont="1" applyFill="1" applyBorder="1" applyAlignment="1">
      <alignment vertical="center"/>
    </xf>
    <xf numFmtId="165" fontId="0" fillId="8" borderId="36" xfId="1" applyNumberFormat="1" applyFont="1" applyFill="1" applyBorder="1"/>
    <xf numFmtId="0" fontId="3" fillId="8" borderId="27" xfId="0" applyFont="1" applyFill="1" applyBorder="1" applyAlignment="1">
      <alignment wrapText="1"/>
    </xf>
    <xf numFmtId="0" fontId="3" fillId="8" borderId="0" xfId="0" applyFont="1" applyFill="1" applyBorder="1" applyAlignment="1">
      <alignment wrapText="1"/>
    </xf>
    <xf numFmtId="0" fontId="52" fillId="8" borderId="0" xfId="0" applyFont="1" applyFill="1" applyBorder="1"/>
    <xf numFmtId="0" fontId="3" fillId="8" borderId="37" xfId="0" applyFont="1" applyFill="1" applyBorder="1"/>
    <xf numFmtId="0" fontId="0" fillId="8" borderId="27" xfId="0" applyFill="1" applyBorder="1"/>
    <xf numFmtId="165" fontId="0" fillId="8" borderId="27" xfId="1" applyNumberFormat="1" applyFont="1" applyFill="1" applyBorder="1"/>
    <xf numFmtId="165" fontId="0" fillId="8" borderId="37" xfId="1" applyNumberFormat="1" applyFont="1" applyFill="1" applyBorder="1"/>
    <xf numFmtId="0" fontId="0" fillId="8" borderId="27" xfId="0" applyFill="1" applyBorder="1" applyAlignment="1">
      <alignment wrapText="1"/>
    </xf>
    <xf numFmtId="0" fontId="0" fillId="8" borderId="37" xfId="0" applyFill="1" applyBorder="1"/>
    <xf numFmtId="0" fontId="61" fillId="8" borderId="0" xfId="0" applyFont="1" applyFill="1" applyBorder="1"/>
    <xf numFmtId="0" fontId="43" fillId="8" borderId="37" xfId="0" applyFont="1" applyFill="1" applyBorder="1"/>
    <xf numFmtId="1" fontId="3" fillId="8" borderId="37" xfId="0" applyNumberFormat="1" applyFont="1" applyFill="1" applyBorder="1"/>
    <xf numFmtId="9" fontId="0" fillId="8" borderId="0" xfId="0" applyNumberFormat="1" applyFill="1" applyBorder="1"/>
    <xf numFmtId="0" fontId="0" fillId="8" borderId="27" xfId="0" applyFill="1" applyBorder="1" applyAlignment="1">
      <alignment horizontal="right" wrapText="1"/>
    </xf>
    <xf numFmtId="0" fontId="0" fillId="8" borderId="0" xfId="0" applyFill="1" applyBorder="1" applyAlignment="1">
      <alignment horizontal="right" wrapText="1"/>
    </xf>
    <xf numFmtId="0" fontId="53" fillId="8" borderId="0" xfId="0" applyFont="1" applyFill="1" applyBorder="1"/>
    <xf numFmtId="0" fontId="0" fillId="8" borderId="26" xfId="0" applyFill="1" applyBorder="1"/>
    <xf numFmtId="0" fontId="0" fillId="8" borderId="17" xfId="0" applyFill="1" applyBorder="1"/>
    <xf numFmtId="165" fontId="0" fillId="8" borderId="26" xfId="1" applyNumberFormat="1" applyFont="1" applyFill="1" applyBorder="1"/>
    <xf numFmtId="165" fontId="0" fillId="8" borderId="18" xfId="1" applyNumberFormat="1" applyFont="1" applyFill="1" applyBorder="1"/>
    <xf numFmtId="0" fontId="0" fillId="8" borderId="8" xfId="0" applyFill="1" applyBorder="1"/>
    <xf numFmtId="165" fontId="0" fillId="8" borderId="8" xfId="1" applyNumberFormat="1" applyFont="1" applyFill="1" applyBorder="1"/>
    <xf numFmtId="165" fontId="0" fillId="8" borderId="18" xfId="0" applyNumberFormat="1" applyFill="1" applyBorder="1" applyAlignment="1">
      <alignment horizontal="right"/>
    </xf>
    <xf numFmtId="0" fontId="0" fillId="8" borderId="2" xfId="0" applyFill="1" applyBorder="1"/>
    <xf numFmtId="0" fontId="0" fillId="8" borderId="32" xfId="0" applyFill="1" applyBorder="1"/>
    <xf numFmtId="10" fontId="0" fillId="8" borderId="31" xfId="0" applyNumberFormat="1" applyFill="1" applyBorder="1"/>
    <xf numFmtId="165" fontId="0" fillId="8" borderId="2" xfId="1" applyNumberFormat="1" applyFont="1" applyFill="1" applyBorder="1"/>
    <xf numFmtId="165" fontId="0" fillId="8" borderId="31" xfId="1" applyNumberFormat="1" applyFont="1" applyFill="1" applyBorder="1"/>
    <xf numFmtId="165" fontId="12" fillId="8" borderId="27" xfId="1" applyNumberFormat="1" applyFont="1" applyFill="1" applyBorder="1"/>
    <xf numFmtId="0" fontId="5" fillId="8" borderId="27" xfId="0" applyFont="1" applyFill="1" applyBorder="1" applyAlignment="1">
      <alignment wrapText="1"/>
    </xf>
    <xf numFmtId="0" fontId="5" fillId="8" borderId="0" xfId="0" applyFont="1" applyFill="1" applyBorder="1" applyAlignment="1">
      <alignment wrapText="1"/>
    </xf>
    <xf numFmtId="0" fontId="54" fillId="8" borderId="0" xfId="0" applyFont="1" applyFill="1" applyBorder="1"/>
    <xf numFmtId="0" fontId="5" fillId="8" borderId="37" xfId="0" applyFont="1" applyFill="1" applyBorder="1"/>
    <xf numFmtId="0" fontId="5" fillId="8" borderId="0" xfId="0" applyFont="1" applyFill="1" applyBorder="1"/>
    <xf numFmtId="0" fontId="39" fillId="8" borderId="0" xfId="0" applyFont="1" applyFill="1"/>
    <xf numFmtId="1" fontId="5" fillId="8" borderId="37" xfId="0" applyNumberFormat="1" applyFont="1" applyFill="1" applyBorder="1"/>
    <xf numFmtId="0" fontId="4" fillId="8" borderId="2" xfId="0" applyFont="1" applyFill="1" applyBorder="1"/>
    <xf numFmtId="0" fontId="4" fillId="8" borderId="32" xfId="0" applyFont="1" applyFill="1" applyBorder="1"/>
    <xf numFmtId="165" fontId="4" fillId="8" borderId="2" xfId="1" applyNumberFormat="1" applyFont="1" applyFill="1" applyBorder="1"/>
    <xf numFmtId="165" fontId="4" fillId="8" borderId="31" xfId="1" applyNumberFormat="1" applyFont="1" applyFill="1" applyBorder="1"/>
    <xf numFmtId="0" fontId="0" fillId="8" borderId="26" xfId="0" applyFill="1" applyBorder="1" applyAlignment="1">
      <alignment wrapText="1"/>
    </xf>
    <xf numFmtId="0" fontId="0" fillId="8" borderId="17" xfId="0" applyFill="1" applyBorder="1" applyAlignment="1">
      <alignment wrapText="1"/>
    </xf>
    <xf numFmtId="0" fontId="53" fillId="8" borderId="17" xfId="0" applyFont="1" applyFill="1" applyBorder="1"/>
    <xf numFmtId="0" fontId="0" fillId="8" borderId="18" xfId="0" applyFill="1" applyBorder="1"/>
    <xf numFmtId="0" fontId="62" fillId="8" borderId="2" xfId="0" applyFont="1" applyFill="1" applyBorder="1"/>
    <xf numFmtId="0" fontId="62" fillId="8" borderId="32" xfId="0" applyFont="1" applyFill="1" applyBorder="1"/>
    <xf numFmtId="165" fontId="62" fillId="8" borderId="31" xfId="0" quotePrefix="1" applyNumberFormat="1" applyFont="1" applyFill="1" applyBorder="1"/>
    <xf numFmtId="0" fontId="62" fillId="8" borderId="0" xfId="0" applyFont="1" applyFill="1"/>
    <xf numFmtId="0" fontId="5" fillId="8" borderId="26" xfId="0" applyFont="1" applyFill="1" applyBorder="1" applyAlignment="1">
      <alignment wrapText="1"/>
    </xf>
    <xf numFmtId="0" fontId="5" fillId="8" borderId="17" xfId="0" applyFont="1" applyFill="1" applyBorder="1" applyAlignment="1">
      <alignment wrapText="1"/>
    </xf>
    <xf numFmtId="0" fontId="55" fillId="8" borderId="17" xfId="0" applyFont="1" applyFill="1" applyBorder="1"/>
    <xf numFmtId="0" fontId="39" fillId="8" borderId="18" xfId="0" applyFont="1" applyFill="1" applyBorder="1"/>
    <xf numFmtId="0" fontId="39" fillId="8" borderId="0" xfId="0" applyFont="1" applyFill="1" applyBorder="1"/>
    <xf numFmtId="0" fontId="5" fillId="8" borderId="26" xfId="0" applyFont="1" applyFill="1" applyBorder="1"/>
    <xf numFmtId="0" fontId="62" fillId="8" borderId="31" xfId="0" applyFont="1" applyFill="1" applyBorder="1"/>
    <xf numFmtId="0" fontId="0" fillId="8" borderId="0" xfId="0" applyFill="1" applyAlignment="1">
      <alignment horizontal="center"/>
    </xf>
    <xf numFmtId="165" fontId="19" fillId="8" borderId="0" xfId="1" applyNumberFormat="1" applyFont="1" applyFill="1" applyAlignment="1">
      <alignment vertical="center"/>
    </xf>
    <xf numFmtId="0" fontId="39" fillId="8" borderId="0" xfId="0" applyFont="1" applyFill="1" applyAlignment="1">
      <alignment horizontal="center" vertical="center"/>
    </xf>
    <xf numFmtId="0" fontId="3" fillId="8" borderId="8" xfId="0" applyFont="1" applyFill="1" applyBorder="1"/>
    <xf numFmtId="0" fontId="5" fillId="8" borderId="27" xfId="0" applyFont="1" applyFill="1" applyBorder="1"/>
    <xf numFmtId="0" fontId="0" fillId="8" borderId="0" xfId="0" applyFont="1" applyFill="1"/>
    <xf numFmtId="2" fontId="3" fillId="8" borderId="0" xfId="0" applyNumberFormat="1" applyFont="1" applyFill="1"/>
    <xf numFmtId="0" fontId="0" fillId="8" borderId="0" xfId="0" applyNumberFormat="1" applyFill="1" applyBorder="1"/>
    <xf numFmtId="0" fontId="31" fillId="8" borderId="33" xfId="0" applyFont="1" applyFill="1" applyBorder="1" applyAlignment="1">
      <alignment wrapText="1"/>
    </xf>
    <xf numFmtId="0" fontId="31" fillId="8" borderId="36" xfId="0" applyFont="1" applyFill="1" applyBorder="1" applyAlignment="1">
      <alignment wrapText="1"/>
    </xf>
    <xf numFmtId="165" fontId="31" fillId="8" borderId="0" xfId="1" applyNumberFormat="1" applyFont="1" applyFill="1" applyBorder="1" applyAlignment="1">
      <alignment wrapText="1"/>
    </xf>
    <xf numFmtId="165" fontId="31" fillId="8" borderId="37" xfId="1" applyNumberFormat="1" applyFont="1" applyFill="1" applyBorder="1" applyAlignment="1">
      <alignment wrapText="1"/>
    </xf>
    <xf numFmtId="0" fontId="31" fillId="8" borderId="0" xfId="0" applyFont="1" applyFill="1" applyBorder="1" applyAlignment="1">
      <alignment wrapText="1"/>
    </xf>
    <xf numFmtId="0" fontId="31" fillId="8" borderId="37" xfId="0" applyFont="1" applyFill="1" applyBorder="1"/>
    <xf numFmtId="165" fontId="31" fillId="8" borderId="32" xfId="1" applyNumberFormat="1" applyFont="1" applyFill="1" applyBorder="1" applyAlignment="1">
      <alignment wrapText="1"/>
    </xf>
    <xf numFmtId="165" fontId="31" fillId="8" borderId="31" xfId="1" applyNumberFormat="1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0" fillId="8" borderId="33" xfId="0" applyFill="1" applyBorder="1" applyAlignment="1">
      <alignment wrapText="1"/>
    </xf>
    <xf numFmtId="10" fontId="0" fillId="8" borderId="0" xfId="0" applyNumberFormat="1" applyFill="1" applyBorder="1" applyAlignment="1">
      <alignment wrapText="1"/>
    </xf>
    <xf numFmtId="0" fontId="12" fillId="8" borderId="2" xfId="0" applyFont="1" applyFill="1" applyBorder="1" applyAlignment="1">
      <alignment wrapText="1"/>
    </xf>
    <xf numFmtId="0" fontId="0" fillId="8" borderId="31" xfId="0" applyFill="1" applyBorder="1"/>
    <xf numFmtId="0" fontId="47" fillId="8" borderId="0" xfId="0" applyFont="1" applyFill="1"/>
    <xf numFmtId="1" fontId="47" fillId="8" borderId="0" xfId="0" applyNumberFormat="1" applyFont="1" applyFill="1"/>
    <xf numFmtId="0" fontId="57" fillId="8" borderId="0" xfId="0" applyFont="1" applyFill="1"/>
    <xf numFmtId="0" fontId="47" fillId="8" borderId="0" xfId="0" applyFont="1" applyFill="1" applyBorder="1"/>
    <xf numFmtId="1" fontId="47" fillId="8" borderId="0" xfId="0" applyNumberFormat="1" applyFont="1" applyFill="1" applyBorder="1"/>
    <xf numFmtId="0" fontId="41" fillId="8" borderId="8" xfId="0" applyFont="1" applyFill="1" applyBorder="1"/>
    <xf numFmtId="0" fontId="41" fillId="8" borderId="33" xfId="0" applyFont="1" applyFill="1" applyBorder="1"/>
    <xf numFmtId="1" fontId="41" fillId="8" borderId="33" xfId="0" applyNumberFormat="1" applyFont="1" applyFill="1" applyBorder="1"/>
    <xf numFmtId="0" fontId="41" fillId="8" borderId="27" xfId="0" applyFont="1" applyFill="1" applyBorder="1"/>
    <xf numFmtId="0" fontId="41" fillId="8" borderId="0" xfId="0" applyFont="1" applyFill="1" applyBorder="1"/>
    <xf numFmtId="1" fontId="41" fillId="8" borderId="0" xfId="0" applyNumberFormat="1" applyFont="1" applyFill="1" applyBorder="1"/>
    <xf numFmtId="0" fontId="0" fillId="8" borderId="0" xfId="0" applyFill="1" applyAlignment="1">
      <alignment horizontal="left" wrapText="1" indent="2"/>
    </xf>
    <xf numFmtId="0" fontId="43" fillId="8" borderId="0" xfId="0" applyFont="1" applyFill="1" applyAlignment="1">
      <alignment vertical="center"/>
    </xf>
    <xf numFmtId="165" fontId="63" fillId="0" borderId="1" xfId="0" applyNumberFormat="1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3" fillId="16" borderId="0" xfId="0" applyFont="1" applyFill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5" fontId="31" fillId="0" borderId="1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3" fillId="0" borderId="21" xfId="1" applyNumberFormat="1" applyFont="1" applyFill="1" applyBorder="1" applyAlignment="1">
      <alignment vertical="center"/>
    </xf>
    <xf numFmtId="165" fontId="0" fillId="0" borderId="20" xfId="1" applyNumberFormat="1" applyFont="1" applyFill="1" applyBorder="1" applyAlignment="1">
      <alignment vertical="center"/>
    </xf>
    <xf numFmtId="165" fontId="11" fillId="0" borderId="20" xfId="1" applyNumberFormat="1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2" fontId="0" fillId="0" borderId="10" xfId="1" applyNumberFormat="1" applyFont="1" applyBorder="1"/>
    <xf numFmtId="172" fontId="0" fillId="0" borderId="12" xfId="1" applyNumberFormat="1" applyFont="1" applyBorder="1"/>
    <xf numFmtId="0" fontId="39" fillId="3" borderId="1" xfId="0" applyFont="1" applyFill="1" applyBorder="1" applyAlignment="1">
      <alignment horizontal="center"/>
    </xf>
    <xf numFmtId="0" fontId="0" fillId="9" borderId="0" xfId="0" applyFill="1"/>
    <xf numFmtId="0" fontId="6" fillId="8" borderId="0" xfId="0" applyFont="1" applyFill="1" applyAlignment="1">
      <alignment vertical="center"/>
    </xf>
    <xf numFmtId="165" fontId="0" fillId="3" borderId="20" xfId="1" applyNumberFormat="1" applyFont="1" applyFill="1" applyBorder="1"/>
    <xf numFmtId="165" fontId="11" fillId="3" borderId="4" xfId="1" applyNumberFormat="1" applyFont="1" applyFill="1" applyBorder="1"/>
    <xf numFmtId="165" fontId="11" fillId="3" borderId="20" xfId="1" applyNumberFormat="1" applyFont="1" applyFill="1" applyBorder="1"/>
    <xf numFmtId="165" fontId="2" fillId="3" borderId="20" xfId="1" applyNumberFormat="1" applyFont="1" applyFill="1" applyBorder="1"/>
    <xf numFmtId="165" fontId="11" fillId="3" borderId="9" xfId="1" applyNumberFormat="1" applyFont="1" applyFill="1" applyBorder="1"/>
    <xf numFmtId="165" fontId="0" fillId="3" borderId="4" xfId="1" applyNumberFormat="1" applyFont="1" applyFill="1" applyBorder="1" applyAlignment="1">
      <alignment vertical="center"/>
    </xf>
    <xf numFmtId="165" fontId="0" fillId="3" borderId="20" xfId="1" applyNumberFormat="1" applyFont="1" applyFill="1" applyBorder="1" applyAlignment="1">
      <alignment vertical="center"/>
    </xf>
    <xf numFmtId="165" fontId="11" fillId="3" borderId="20" xfId="1" applyNumberFormat="1" applyFont="1" applyFill="1" applyBorder="1" applyAlignment="1">
      <alignment vertical="center"/>
    </xf>
    <xf numFmtId="165" fontId="7" fillId="3" borderId="2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165" fontId="31" fillId="3" borderId="1" xfId="1" applyNumberFormat="1" applyFont="1" applyFill="1" applyBorder="1" applyAlignment="1">
      <alignment vertical="center"/>
    </xf>
    <xf numFmtId="165" fontId="3" fillId="3" borderId="3" xfId="1" applyNumberFormat="1" applyFont="1" applyFill="1" applyBorder="1" applyAlignment="1">
      <alignment vertical="center"/>
    </xf>
    <xf numFmtId="14" fontId="0" fillId="3" borderId="1" xfId="0" applyNumberFormat="1" applyFill="1" applyBorder="1"/>
    <xf numFmtId="165" fontId="0" fillId="0" borderId="4" xfId="1" applyNumberFormat="1" applyFont="1" applyFill="1" applyBorder="1" applyAlignment="1">
      <alignment horizontal="center"/>
    </xf>
    <xf numFmtId="165" fontId="0" fillId="0" borderId="9" xfId="1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5" fontId="3" fillId="16" borderId="27" xfId="1" applyNumberFormat="1" applyFont="1" applyFill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8" borderId="0" xfId="0" applyFont="1" applyFill="1" applyBorder="1" applyAlignment="1">
      <alignment vertical="center" wrapText="1"/>
    </xf>
    <xf numFmtId="165" fontId="0" fillId="8" borderId="1" xfId="1" applyNumberFormat="1" applyFont="1" applyFill="1" applyBorder="1"/>
    <xf numFmtId="165" fontId="5" fillId="8" borderId="0" xfId="1" applyNumberFormat="1" applyFont="1" applyFill="1" applyAlignment="1">
      <alignment vertical="center"/>
    </xf>
    <xf numFmtId="0" fontId="65" fillId="8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8" borderId="17" xfId="0" applyFill="1" applyBorder="1"/>
    <xf numFmtId="0" fontId="60" fillId="8" borderId="27" xfId="0" applyFont="1" applyFill="1" applyBorder="1"/>
    <xf numFmtId="0" fontId="33" fillId="8" borderId="0" xfId="0" applyFont="1" applyFill="1" applyBorder="1"/>
    <xf numFmtId="0" fontId="33" fillId="8" borderId="27" xfId="0" applyFont="1" applyFill="1" applyBorder="1"/>
    <xf numFmtId="0" fontId="33" fillId="0" borderId="44" xfId="0" applyFont="1" applyBorder="1"/>
    <xf numFmtId="0" fontId="33" fillId="0" borderId="24" xfId="0" applyFont="1" applyBorder="1"/>
    <xf numFmtId="0" fontId="33" fillId="8" borderId="0" xfId="0" applyFont="1" applyFill="1"/>
    <xf numFmtId="0" fontId="67" fillId="8" borderId="0" xfId="0" applyFont="1" applyFill="1" applyAlignment="1">
      <alignment vertical="center"/>
    </xf>
    <xf numFmtId="0" fontId="69" fillId="8" borderId="0" xfId="0" applyFont="1" applyFill="1" applyAlignment="1">
      <alignment vertical="center" wrapText="1"/>
    </xf>
    <xf numFmtId="0" fontId="67" fillId="0" borderId="0" xfId="0" applyFont="1" applyAlignment="1">
      <alignment vertical="center"/>
    </xf>
    <xf numFmtId="0" fontId="70" fillId="8" borderId="0" xfId="0" applyFont="1" applyFill="1" applyAlignment="1">
      <alignment horizontal="left" vertical="center" wrapText="1"/>
    </xf>
    <xf numFmtId="0" fontId="62" fillId="0" borderId="0" xfId="0" applyFont="1" applyAlignment="1"/>
    <xf numFmtId="165" fontId="4" fillId="8" borderId="0" xfId="1" applyNumberFormat="1" applyFont="1" applyFill="1" applyAlignment="1">
      <alignment vertical="center"/>
    </xf>
    <xf numFmtId="165" fontId="65" fillId="8" borderId="0" xfId="1" applyNumberFormat="1" applyFont="1" applyFill="1" applyAlignment="1">
      <alignment vertical="center"/>
    </xf>
    <xf numFmtId="0" fontId="65" fillId="8" borderId="0" xfId="0" applyFont="1" applyFill="1" applyAlignment="1">
      <alignment horizontal="center" vertical="center"/>
    </xf>
    <xf numFmtId="165" fontId="34" fillId="8" borderId="0" xfId="0" applyNumberFormat="1" applyFont="1" applyFill="1"/>
    <xf numFmtId="165" fontId="35" fillId="8" borderId="0" xfId="0" applyNumberFormat="1" applyFont="1" applyFill="1"/>
    <xf numFmtId="0" fontId="31" fillId="8" borderId="0" xfId="0" applyFont="1" applyFill="1" applyBorder="1"/>
    <xf numFmtId="0" fontId="11" fillId="8" borderId="0" xfId="0" applyFont="1" applyFill="1"/>
    <xf numFmtId="165" fontId="11" fillId="8" borderId="0" xfId="1" applyNumberFormat="1" applyFont="1" applyFill="1"/>
    <xf numFmtId="0" fontId="11" fillId="8" borderId="0" xfId="0" applyFont="1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0" fontId="72" fillId="8" borderId="0" xfId="0" applyFont="1" applyFill="1"/>
    <xf numFmtId="0" fontId="72" fillId="8" borderId="0" xfId="0" applyFont="1" applyFill="1" applyAlignment="1">
      <alignment vertical="top"/>
    </xf>
    <xf numFmtId="0" fontId="13" fillId="8" borderId="0" xfId="3" applyFill="1" applyBorder="1"/>
    <xf numFmtId="0" fontId="46" fillId="8" borderId="0" xfId="0" applyFont="1" applyFill="1" applyBorder="1"/>
    <xf numFmtId="0" fontId="59" fillId="8" borderId="0" xfId="0" applyFont="1" applyFill="1" applyBorder="1"/>
    <xf numFmtId="0" fontId="46" fillId="8" borderId="1" xfId="0" applyFont="1" applyFill="1" applyBorder="1" applyAlignment="1">
      <alignment horizontal="center"/>
    </xf>
    <xf numFmtId="10" fontId="0" fillId="3" borderId="3" xfId="0" applyNumberFormat="1" applyFill="1" applyBorder="1" applyAlignment="1" applyProtection="1">
      <alignment horizontal="center"/>
      <protection locked="0"/>
    </xf>
    <xf numFmtId="10" fontId="0" fillId="3" borderId="3" xfId="0" applyNumberFormat="1" applyFill="1" applyBorder="1" applyAlignment="1">
      <alignment horizontal="center"/>
    </xf>
    <xf numFmtId="14" fontId="0" fillId="8" borderId="1" xfId="0" applyNumberFormat="1" applyFill="1" applyBorder="1"/>
    <xf numFmtId="0" fontId="15" fillId="8" borderId="0" xfId="0" applyFont="1" applyFill="1" applyBorder="1" applyAlignment="1">
      <alignment horizontal="left"/>
    </xf>
    <xf numFmtId="0" fontId="15" fillId="8" borderId="0" xfId="0" applyFont="1" applyFill="1" applyBorder="1"/>
    <xf numFmtId="0" fontId="15" fillId="8" borderId="0" xfId="0" applyFont="1" applyFill="1"/>
    <xf numFmtId="0" fontId="14" fillId="8" borderId="0" xfId="0" applyFont="1" applyFill="1" applyBorder="1"/>
    <xf numFmtId="0" fontId="73" fillId="3" borderId="10" xfId="0" applyFont="1" applyFill="1" applyBorder="1" applyAlignment="1">
      <alignment horizontal="left"/>
    </xf>
    <xf numFmtId="0" fontId="15" fillId="3" borderId="23" xfId="0" applyFont="1" applyFill="1" applyBorder="1"/>
    <xf numFmtId="0" fontId="15" fillId="3" borderId="11" xfId="0" applyFont="1" applyFill="1" applyBorder="1"/>
    <xf numFmtId="0" fontId="14" fillId="3" borderId="12" xfId="0" applyFont="1" applyFill="1" applyBorder="1"/>
    <xf numFmtId="0" fontId="14" fillId="3" borderId="0" xfId="0" applyFont="1" applyFill="1" applyBorder="1"/>
    <xf numFmtId="0" fontId="15" fillId="3" borderId="0" xfId="0" applyFont="1" applyFill="1" applyBorder="1"/>
    <xf numFmtId="0" fontId="15" fillId="3" borderId="13" xfId="0" applyFont="1" applyFill="1" applyBorder="1"/>
    <xf numFmtId="0" fontId="15" fillId="3" borderId="12" xfId="0" applyFont="1" applyFill="1" applyBorder="1"/>
    <xf numFmtId="0" fontId="15" fillId="3" borderId="12" xfId="0" applyFont="1" applyFill="1" applyBorder="1" applyAlignment="1">
      <alignment horizontal="left"/>
    </xf>
    <xf numFmtId="165" fontId="15" fillId="3" borderId="0" xfId="1" applyNumberFormat="1" applyFont="1" applyFill="1" applyBorder="1"/>
    <xf numFmtId="0" fontId="14" fillId="3" borderId="12" xfId="0" applyFont="1" applyFill="1" applyBorder="1" applyAlignment="1">
      <alignment horizontal="left"/>
    </xf>
    <xf numFmtId="165" fontId="14" fillId="3" borderId="0" xfId="1" applyNumberFormat="1" applyFont="1" applyFill="1" applyBorder="1"/>
    <xf numFmtId="165" fontId="15" fillId="3" borderId="0" xfId="0" applyNumberFormat="1" applyFont="1" applyFill="1" applyBorder="1"/>
    <xf numFmtId="0" fontId="15" fillId="3" borderId="14" xfId="0" applyFont="1" applyFill="1" applyBorder="1"/>
    <xf numFmtId="0" fontId="15" fillId="3" borderId="24" xfId="0" applyFont="1" applyFill="1" applyBorder="1"/>
    <xf numFmtId="0" fontId="15" fillId="3" borderId="25" xfId="0" applyFont="1" applyFill="1" applyBorder="1"/>
    <xf numFmtId="165" fontId="7" fillId="3" borderId="8" xfId="1" applyNumberFormat="1" applyFont="1" applyFill="1" applyBorder="1" applyAlignment="1">
      <alignment vertical="center"/>
    </xf>
    <xf numFmtId="165" fontId="7" fillId="3" borderId="26" xfId="1" applyNumberFormat="1" applyFont="1" applyFill="1" applyBorder="1" applyAlignment="1">
      <alignment vertical="center"/>
    </xf>
    <xf numFmtId="165" fontId="7" fillId="3" borderId="18" xfId="1" applyNumberFormat="1" applyFont="1" applyFill="1" applyBorder="1" applyAlignment="1">
      <alignment vertical="center"/>
    </xf>
    <xf numFmtId="165" fontId="7" fillId="3" borderId="36" xfId="1" applyNumberFormat="1" applyFont="1" applyFill="1" applyBorder="1" applyAlignment="1">
      <alignment vertical="center"/>
    </xf>
    <xf numFmtId="165" fontId="2" fillId="3" borderId="26" xfId="1" applyNumberFormat="1" applyFont="1" applyFill="1" applyBorder="1" applyAlignment="1">
      <alignment vertical="center"/>
    </xf>
    <xf numFmtId="165" fontId="3" fillId="3" borderId="18" xfId="1" applyNumberFormat="1" applyFont="1" applyFill="1" applyBorder="1" applyAlignment="1">
      <alignment vertical="center"/>
    </xf>
    <xf numFmtId="1" fontId="0" fillId="3" borderId="3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0" fontId="3" fillId="0" borderId="57" xfId="0" applyFont="1" applyBorder="1" applyAlignment="1">
      <alignment horizontal="center" vertical="center" wrapText="1"/>
    </xf>
    <xf numFmtId="0" fontId="3" fillId="0" borderId="51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vertical="center" wrapText="1"/>
    </xf>
    <xf numFmtId="0" fontId="0" fillId="4" borderId="27" xfId="0" applyFill="1" applyBorder="1"/>
    <xf numFmtId="10" fontId="0" fillId="4" borderId="0" xfId="0" applyNumberFormat="1" applyFill="1"/>
    <xf numFmtId="165" fontId="0" fillId="3" borderId="0" xfId="1" applyNumberFormat="1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37" xfId="0" applyFill="1" applyBorder="1"/>
    <xf numFmtId="169" fontId="0" fillId="4" borderId="0" xfId="0" applyNumberFormat="1" applyFill="1"/>
    <xf numFmtId="165" fontId="0" fillId="4" borderId="37" xfId="1" applyNumberFormat="1" applyFont="1" applyFill="1" applyBorder="1"/>
    <xf numFmtId="0" fontId="0" fillId="2" borderId="27" xfId="0" applyFill="1" applyBorder="1"/>
    <xf numFmtId="169" fontId="0" fillId="2" borderId="0" xfId="0" applyNumberFormat="1" applyFill="1"/>
    <xf numFmtId="0" fontId="0" fillId="2" borderId="0" xfId="0" applyFill="1" applyAlignment="1">
      <alignment horizontal="center"/>
    </xf>
    <xf numFmtId="165" fontId="0" fillId="2" borderId="37" xfId="1" applyNumberFormat="1" applyFont="1" applyFill="1" applyBorder="1"/>
    <xf numFmtId="0" fontId="0" fillId="4" borderId="58" xfId="0" applyFill="1" applyBorder="1"/>
    <xf numFmtId="10" fontId="3" fillId="0" borderId="59" xfId="0" applyNumberFormat="1" applyFont="1" applyBorder="1"/>
    <xf numFmtId="165" fontId="3" fillId="0" borderId="59" xfId="1" applyNumberFormat="1" applyFont="1" applyBorder="1"/>
    <xf numFmtId="169" fontId="3" fillId="0" borderId="59" xfId="0" applyNumberFormat="1" applyFont="1" applyBorder="1"/>
    <xf numFmtId="0" fontId="3" fillId="4" borderId="59" xfId="0" applyFont="1" applyFill="1" applyBorder="1" applyAlignment="1">
      <alignment horizontal="center"/>
    </xf>
    <xf numFmtId="165" fontId="3" fillId="0" borderId="60" xfId="0" applyNumberFormat="1" applyFont="1" applyBorder="1"/>
    <xf numFmtId="10" fontId="3" fillId="8" borderId="20" xfId="0" applyNumberFormat="1" applyFont="1" applyFill="1" applyBorder="1" applyAlignment="1">
      <alignment wrapText="1"/>
    </xf>
    <xf numFmtId="10" fontId="3" fillId="8" borderId="9" xfId="0" applyNumberFormat="1" applyFont="1" applyFill="1" applyBorder="1" applyAlignment="1">
      <alignment wrapText="1"/>
    </xf>
    <xf numFmtId="10" fontId="3" fillId="3" borderId="3" xfId="0" applyNumberFormat="1" applyFont="1" applyFill="1" applyBorder="1" applyAlignment="1">
      <alignment wrapText="1"/>
    </xf>
    <xf numFmtId="172" fontId="0" fillId="8" borderId="0" xfId="1" applyNumberFormat="1" applyFont="1" applyFill="1" applyBorder="1" applyAlignment="1">
      <alignment wrapText="1"/>
    </xf>
    <xf numFmtId="172" fontId="0" fillId="8" borderId="27" xfId="1" applyNumberFormat="1" applyFont="1" applyFill="1" applyBorder="1" applyAlignment="1">
      <alignment wrapText="1"/>
    </xf>
    <xf numFmtId="172" fontId="0" fillId="8" borderId="26" xfId="1" applyNumberFormat="1" applyFont="1" applyFill="1" applyBorder="1" applyAlignment="1">
      <alignment wrapText="1"/>
    </xf>
    <xf numFmtId="0" fontId="0" fillId="8" borderId="0" xfId="0" applyFill="1" applyBorder="1" applyAlignment="1">
      <alignment horizontal="right"/>
    </xf>
    <xf numFmtId="165" fontId="4" fillId="8" borderId="0" xfId="0" applyNumberFormat="1" applyFont="1" applyFill="1"/>
    <xf numFmtId="167" fontId="3" fillId="8" borderId="0" xfId="0" applyNumberFormat="1" applyFont="1" applyFill="1" applyAlignment="1">
      <alignment horizontal="center"/>
    </xf>
    <xf numFmtId="165" fontId="0" fillId="8" borderId="0" xfId="1" applyNumberFormat="1" applyFont="1" applyFill="1" applyAlignment="1">
      <alignment wrapText="1"/>
    </xf>
    <xf numFmtId="0" fontId="0" fillId="8" borderId="0" xfId="0" applyFill="1" applyAlignment="1">
      <alignment horizontal="center" wrapText="1"/>
    </xf>
    <xf numFmtId="0" fontId="0" fillId="8" borderId="10" xfId="0" applyFill="1" applyBorder="1" applyAlignment="1">
      <alignment vertical="center"/>
    </xf>
    <xf numFmtId="0" fontId="0" fillId="8" borderId="23" xfId="0" applyFill="1" applyBorder="1" applyAlignment="1">
      <alignment horizontal="center" wrapText="1"/>
    </xf>
    <xf numFmtId="0" fontId="0" fillId="8" borderId="23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0" xfId="0" applyFill="1" applyAlignment="1">
      <alignment horizontal="left"/>
    </xf>
    <xf numFmtId="0" fontId="0" fillId="8" borderId="13" xfId="0" applyFill="1" applyBorder="1" applyAlignment="1">
      <alignment horizontal="center"/>
    </xf>
    <xf numFmtId="0" fontId="0" fillId="8" borderId="14" xfId="0" applyFill="1" applyBorder="1"/>
    <xf numFmtId="0" fontId="0" fillId="8" borderId="24" xfId="0" applyFill="1" applyBorder="1"/>
    <xf numFmtId="0" fontId="0" fillId="8" borderId="25" xfId="0" applyFill="1" applyBorder="1" applyAlignment="1">
      <alignment horizontal="center"/>
    </xf>
    <xf numFmtId="6" fontId="0" fillId="8" borderId="0" xfId="0" applyNumberFormat="1" applyFill="1" applyAlignment="1">
      <alignment horizontal="center" vertical="center"/>
    </xf>
    <xf numFmtId="169" fontId="0" fillId="8" borderId="0" xfId="0" applyNumberFormat="1" applyFill="1" applyAlignment="1">
      <alignment horizontal="center"/>
    </xf>
    <xf numFmtId="10" fontId="0" fillId="8" borderId="0" xfId="0" applyNumberFormat="1" applyFill="1" applyAlignment="1">
      <alignment horizontal="center"/>
    </xf>
    <xf numFmtId="0" fontId="3" fillId="8" borderId="0" xfId="0" applyFont="1" applyFill="1" applyAlignment="1">
      <alignment horizontal="center" vertical="center" wrapText="1"/>
    </xf>
    <xf numFmtId="171" fontId="0" fillId="8" borderId="0" xfId="0" applyNumberFormat="1" applyFill="1" applyAlignment="1">
      <alignment horizontal="center"/>
    </xf>
    <xf numFmtId="167" fontId="0" fillId="0" borderId="14" xfId="0" applyNumberFormat="1" applyBorder="1" applyAlignment="1">
      <alignment horizontal="center"/>
    </xf>
    <xf numFmtId="10" fontId="0" fillId="16" borderId="1" xfId="0" applyNumberFormat="1" applyFill="1" applyBorder="1"/>
    <xf numFmtId="0" fontId="10" fillId="8" borderId="0" xfId="0" applyFont="1" applyFill="1" applyAlignment="1">
      <alignment vertical="top"/>
    </xf>
    <xf numFmtId="0" fontId="0" fillId="0" borderId="12" xfId="0" applyFont="1" applyBorder="1" applyAlignment="1">
      <alignment horizontal="center"/>
    </xf>
    <xf numFmtId="169" fontId="0" fillId="0" borderId="7" xfId="0" applyNumberFormat="1" applyFont="1" applyBorder="1" applyAlignment="1">
      <alignment horizontal="center"/>
    </xf>
    <xf numFmtId="0" fontId="0" fillId="8" borderId="0" xfId="0" applyFont="1" applyFill="1" applyAlignment="1">
      <alignment vertical="top"/>
    </xf>
    <xf numFmtId="0" fontId="42" fillId="8" borderId="0" xfId="0" applyFont="1" applyFill="1" applyBorder="1"/>
    <xf numFmtId="1" fontId="41" fillId="8" borderId="36" xfId="0" applyNumberFormat="1" applyFont="1" applyFill="1" applyBorder="1"/>
    <xf numFmtId="1" fontId="41" fillId="8" borderId="37" xfId="0" applyNumberFormat="1" applyFont="1" applyFill="1" applyBorder="1"/>
    <xf numFmtId="1" fontId="42" fillId="11" borderId="47" xfId="0" applyNumberFormat="1" applyFont="1" applyFill="1" applyBorder="1" applyAlignment="1">
      <alignment wrapText="1"/>
    </xf>
    <xf numFmtId="1" fontId="0" fillId="12" borderId="47" xfId="0" applyNumberFormat="1" applyFill="1" applyBorder="1"/>
    <xf numFmtId="1" fontId="14" fillId="12" borderId="47" xfId="0" applyNumberFormat="1" applyFont="1" applyFill="1" applyBorder="1" applyAlignment="1">
      <alignment horizontal="center"/>
    </xf>
    <xf numFmtId="1" fontId="14" fillId="12" borderId="49" xfId="0" applyNumberFormat="1" applyFont="1" applyFill="1" applyBorder="1" applyAlignment="1">
      <alignment horizontal="center"/>
    </xf>
    <xf numFmtId="0" fontId="42" fillId="11" borderId="46" xfId="0" applyFont="1" applyFill="1" applyBorder="1" applyAlignment="1">
      <alignment wrapText="1"/>
    </xf>
    <xf numFmtId="0" fontId="41" fillId="8" borderId="0" xfId="0" applyFont="1" applyFill="1" applyAlignment="1">
      <alignment vertical="center"/>
    </xf>
    <xf numFmtId="1" fontId="41" fillId="8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8" borderId="31" xfId="0" applyFont="1" applyFill="1" applyBorder="1"/>
    <xf numFmtId="167" fontId="0" fillId="0" borderId="0" xfId="0" applyNumberFormat="1" applyBorder="1" applyAlignment="1">
      <alignment horizontal="center"/>
    </xf>
    <xf numFmtId="0" fontId="43" fillId="0" borderId="0" xfId="0" applyFont="1" applyBorder="1"/>
    <xf numFmtId="167" fontId="0" fillId="0" borderId="0" xfId="0" applyNumberFormat="1" applyBorder="1" applyAlignment="1">
      <alignment horizontal="center" vertical="center"/>
    </xf>
    <xf numFmtId="165" fontId="15" fillId="3" borderId="3" xfId="1" applyNumberFormat="1" applyFont="1" applyFill="1" applyBorder="1"/>
    <xf numFmtId="0" fontId="14" fillId="3" borderId="14" xfId="0" applyFont="1" applyFill="1" applyBorder="1"/>
    <xf numFmtId="165" fontId="74" fillId="3" borderId="24" xfId="1" applyNumberFormat="1" applyFont="1" applyFill="1" applyBorder="1"/>
    <xf numFmtId="0" fontId="0" fillId="3" borderId="12" xfId="0" applyFill="1" applyBorder="1"/>
    <xf numFmtId="0" fontId="0" fillId="3" borderId="0" xfId="0" applyFill="1" applyBorder="1"/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2" fillId="14" borderId="38" xfId="0" applyFont="1" applyFill="1" applyBorder="1" applyAlignment="1">
      <alignment wrapText="1"/>
    </xf>
    <xf numFmtId="0" fontId="42" fillId="14" borderId="30" xfId="0" applyFont="1" applyFill="1" applyBorder="1"/>
    <xf numFmtId="0" fontId="42" fillId="14" borderId="30" xfId="0" applyFont="1" applyFill="1" applyBorder="1" applyAlignment="1">
      <alignment wrapText="1"/>
    </xf>
    <xf numFmtId="1" fontId="42" fillId="14" borderId="30" xfId="0" applyNumberFormat="1" applyFont="1" applyFill="1" applyBorder="1"/>
    <xf numFmtId="1" fontId="42" fillId="14" borderId="30" xfId="0" applyNumberFormat="1" applyFont="1" applyFill="1" applyBorder="1" applyAlignment="1">
      <alignment wrapText="1"/>
    </xf>
    <xf numFmtId="1" fontId="42" fillId="14" borderId="39" xfId="0" applyNumberFormat="1" applyFont="1" applyFill="1" applyBorder="1" applyAlignment="1">
      <alignment wrapText="1"/>
    </xf>
    <xf numFmtId="0" fontId="47" fillId="0" borderId="46" xfId="0" applyFont="1" applyBorder="1"/>
    <xf numFmtId="1" fontId="47" fillId="15" borderId="47" xfId="0" applyNumberFormat="1" applyFont="1" applyFill="1" applyBorder="1"/>
    <xf numFmtId="1" fontId="58" fillId="17" borderId="47" xfId="0" applyNumberFormat="1" applyFont="1" applyFill="1" applyBorder="1"/>
    <xf numFmtId="0" fontId="47" fillId="0" borderId="48" xfId="0" applyFont="1" applyBorder="1"/>
    <xf numFmtId="0" fontId="47" fillId="0" borderId="45" xfId="0" applyFont="1" applyBorder="1"/>
    <xf numFmtId="1" fontId="47" fillId="15" borderId="45" xfId="0" applyNumberFormat="1" applyFont="1" applyFill="1" applyBorder="1"/>
    <xf numFmtId="1" fontId="47" fillId="15" borderId="49" xfId="0" applyNumberFormat="1" applyFont="1" applyFill="1" applyBorder="1"/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47" fillId="0" borderId="46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46" xfId="0" applyFill="1" applyBorder="1" applyAlignment="1">
      <alignment horizontal="center" wrapText="1"/>
    </xf>
    <xf numFmtId="0" fontId="0" fillId="3" borderId="46" xfId="0" applyFill="1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12" fillId="8" borderId="0" xfId="0" applyFont="1" applyFill="1" applyAlignment="1">
      <alignment horizontal="left" vertical="center"/>
    </xf>
    <xf numFmtId="165" fontId="2" fillId="8" borderId="26" xfId="1" applyNumberFormat="1" applyFont="1" applyFill="1" applyBorder="1"/>
    <xf numFmtId="1" fontId="0" fillId="0" borderId="28" xfId="0" applyNumberFormat="1" applyBorder="1" applyAlignment="1">
      <alignment horizontal="center"/>
    </xf>
    <xf numFmtId="0" fontId="0" fillId="8" borderId="0" xfId="0" applyFill="1" applyBorder="1" applyAlignment="1">
      <alignment vertical="center"/>
    </xf>
    <xf numFmtId="0" fontId="67" fillId="8" borderId="0" xfId="0" applyFont="1" applyFill="1" applyAlignment="1">
      <alignment vertical="center" wrapText="1"/>
    </xf>
    <xf numFmtId="0" fontId="68" fillId="0" borderId="0" xfId="0" applyFont="1" applyAlignment="1">
      <alignment vertical="center" wrapText="1"/>
    </xf>
    <xf numFmtId="0" fontId="40" fillId="8" borderId="17" xfId="0" applyFont="1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16" fontId="0" fillId="0" borderId="27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24" xfId="0" applyBorder="1" applyAlignment="1">
      <alignment wrapText="1"/>
    </xf>
    <xf numFmtId="0" fontId="6" fillId="8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71" fillId="8" borderId="0" xfId="0" applyFont="1" applyFill="1" applyAlignment="1">
      <alignment horizontal="left" vertical="center"/>
    </xf>
    <xf numFmtId="0" fontId="43" fillId="0" borderId="8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65" fillId="8" borderId="0" xfId="0" applyFont="1" applyFill="1" applyAlignment="1">
      <alignment vertical="center" wrapText="1"/>
    </xf>
    <xf numFmtId="0" fontId="66" fillId="8" borderId="0" xfId="0" applyFont="1" applyFill="1" applyAlignment="1">
      <alignment vertical="center" wrapText="1"/>
    </xf>
    <xf numFmtId="0" fontId="66" fillId="0" borderId="0" xfId="0" applyFont="1" applyAlignment="1">
      <alignment vertical="center"/>
    </xf>
    <xf numFmtId="165" fontId="11" fillId="8" borderId="0" xfId="1" applyNumberFormat="1" applyFont="1" applyFill="1" applyBorder="1" applyAlignment="1">
      <alignment horizontal="center"/>
    </xf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aseline="0"/>
              <a:t>Koncept kalkylränta</a:t>
            </a:r>
            <a:endParaRPr lang="sv-SE"/>
          </a:p>
        </c:rich>
      </c:tx>
      <c:layout>
        <c:manualLayout>
          <c:xMode val="edge"/>
          <c:yMode val="edge"/>
          <c:x val="0.20714545681649812"/>
          <c:y val="4.7093440152627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Referensunderlag!$B$57:$B$60</c:f>
              <c:strCache>
                <c:ptCount val="4"/>
                <c:pt idx="0">
                  <c:v>Stockholm innerstad</c:v>
                </c:pt>
                <c:pt idx="1">
                  <c:v>Övr större tätorter</c:v>
                </c:pt>
                <c:pt idx="2">
                  <c:v>Landsbygd</c:v>
                </c:pt>
                <c:pt idx="3">
                  <c:v>Norrlands inland</c:v>
                </c:pt>
              </c:strCache>
            </c:strRef>
          </c:cat>
          <c:val>
            <c:numRef>
              <c:f>Referensunderlag!$C$57:$C$60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DB-447B-9AA1-D8551B6AE91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Referensunderlag!$B$57:$B$60</c:f>
              <c:strCache>
                <c:ptCount val="4"/>
                <c:pt idx="0">
                  <c:v>Stockholm innerstad</c:v>
                </c:pt>
                <c:pt idx="1">
                  <c:v>Övr större tätorter</c:v>
                </c:pt>
                <c:pt idx="2">
                  <c:v>Landsbygd</c:v>
                </c:pt>
                <c:pt idx="3">
                  <c:v>Norrlands inland</c:v>
                </c:pt>
              </c:strCache>
            </c:strRef>
          </c:cat>
          <c:val>
            <c:numRef>
              <c:f>Referensunderlag!$D$57:$D$60</c:f>
              <c:numCache>
                <c:formatCode>General</c:formatCode>
                <c:ptCount val="4"/>
                <c:pt idx="0">
                  <c:v>4.25</c:v>
                </c:pt>
                <c:pt idx="1">
                  <c:v>6</c:v>
                </c:pt>
                <c:pt idx="2">
                  <c:v>7.7</c:v>
                </c:pt>
                <c:pt idx="3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B-447B-9AA1-D8551B6AE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754384"/>
        <c:axId val="729757264"/>
      </c:lineChart>
      <c:catAx>
        <c:axId val="7297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757264"/>
        <c:crosses val="autoZero"/>
        <c:auto val="1"/>
        <c:lblAlgn val="ctr"/>
        <c:lblOffset val="100"/>
        <c:noMultiLvlLbl val="0"/>
      </c:catAx>
      <c:valAx>
        <c:axId val="729757264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7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Ackumulerat</a:t>
            </a:r>
            <a:r>
              <a:rPr lang="en-US" baseline="0"/>
              <a:t> lyft / lyftplan i MSEK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6670603674540682"/>
          <c:y val="0.12721920289855074"/>
          <c:w val="0.83329396325459315"/>
          <c:h val="0.726955309254821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Referensunderlag!$L$23:$L$33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9.9999999999999995E-7</c:v>
                </c:pt>
                <c:pt idx="2">
                  <c:v>1.9999999999999999E-6</c:v>
                </c:pt>
                <c:pt idx="3">
                  <c:v>3.0000000000000001E-6</c:v>
                </c:pt>
                <c:pt idx="4">
                  <c:v>3.9999999999999998E-6</c:v>
                </c:pt>
                <c:pt idx="5">
                  <c:v>5.0000000000000004E-6</c:v>
                </c:pt>
                <c:pt idx="6">
                  <c:v>6.0000000000000002E-6</c:v>
                </c:pt>
                <c:pt idx="7">
                  <c:v>6.9999999999999999E-6</c:v>
                </c:pt>
                <c:pt idx="8">
                  <c:v>7.9999999999999996E-6</c:v>
                </c:pt>
                <c:pt idx="9">
                  <c:v>9.0000000000000002E-6</c:v>
                </c:pt>
                <c:pt idx="10">
                  <c:v>1.0000000000000001E-5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1-4F8B-8829-3199F1A88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970000"/>
        <c:axId val="786972880"/>
      </c:lineChart>
      <c:catAx>
        <c:axId val="78697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86972880"/>
        <c:crosses val="autoZero"/>
        <c:auto val="1"/>
        <c:lblAlgn val="ctr"/>
        <c:lblOffset val="100"/>
        <c:noMultiLvlLbl val="0"/>
      </c:catAx>
      <c:valAx>
        <c:axId val="78697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869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12</xdr:col>
      <xdr:colOff>495300</xdr:colOff>
      <xdr:row>26</xdr:row>
      <xdr:rowOff>80010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B199B443-8F3D-4644-9423-970C499B1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500" y="0"/>
          <a:ext cx="7620000" cy="4315460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292101</xdr:colOff>
      <xdr:row>17</xdr:row>
      <xdr:rowOff>159312</xdr:rowOff>
    </xdr:from>
    <xdr:to>
      <xdr:col>7</xdr:col>
      <xdr:colOff>495300</xdr:colOff>
      <xdr:row>18</xdr:row>
      <xdr:rowOff>150652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4F4C382-3086-43DE-B771-93E093D67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59301" y="2737412"/>
          <a:ext cx="203199" cy="175490"/>
        </a:xfrm>
        <a:prstGeom prst="rect">
          <a:avLst/>
        </a:prstGeom>
      </xdr:spPr>
    </xdr:pic>
    <xdr:clientData/>
  </xdr:twoCellAnchor>
  <xdr:oneCellAnchor>
    <xdr:from>
      <xdr:col>7</xdr:col>
      <xdr:colOff>444500</xdr:colOff>
      <xdr:row>17</xdr:row>
      <xdr:rowOff>95250</xdr:rowOff>
    </xdr:from>
    <xdr:ext cx="2666499" cy="264560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C66C15EC-31E5-4290-991F-CE7E88123C36}"/>
            </a:ext>
          </a:extLst>
        </xdr:cNvPr>
        <xdr:cNvSpPr txBox="1"/>
      </xdr:nvSpPr>
      <xdr:spPr>
        <a:xfrm>
          <a:off x="4711700" y="2673350"/>
          <a:ext cx="26664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>
              <a:solidFill>
                <a:schemeClr val="accent1"/>
              </a:solidFill>
            </a:rPr>
            <a:t>Fält som kräver insatsdata är pilmarkerade.</a:t>
          </a:r>
        </a:p>
      </xdr:txBody>
    </xdr:sp>
    <xdr:clientData/>
  </xdr:oneCellAnchor>
  <xdr:twoCellAnchor editAs="oneCell">
    <xdr:from>
      <xdr:col>7</xdr:col>
      <xdr:colOff>419100</xdr:colOff>
      <xdr:row>22</xdr:row>
      <xdr:rowOff>133350</xdr:rowOff>
    </xdr:from>
    <xdr:to>
      <xdr:col>9</xdr:col>
      <xdr:colOff>101600</xdr:colOff>
      <xdr:row>27</xdr:row>
      <xdr:rowOff>78740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546ED071-7A9D-4C84-91BE-C4DB9D3BD5A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632200"/>
          <a:ext cx="901700" cy="86614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260350</xdr:colOff>
      <xdr:row>24</xdr:row>
      <xdr:rowOff>50800</xdr:rowOff>
    </xdr:from>
    <xdr:to>
      <xdr:col>11</xdr:col>
      <xdr:colOff>393700</xdr:colOff>
      <xdr:row>25</xdr:row>
      <xdr:rowOff>133350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8D1D13-F34C-451E-85C1-12E4CC30F22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3917950"/>
          <a:ext cx="135255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590552</xdr:colOff>
      <xdr:row>18</xdr:row>
      <xdr:rowOff>47625</xdr:rowOff>
    </xdr:from>
    <xdr:to>
      <xdr:col>4</xdr:col>
      <xdr:colOff>314326</xdr:colOff>
      <xdr:row>25</xdr:row>
      <xdr:rowOff>123825</xdr:rowOff>
    </xdr:to>
    <xdr:cxnSp macro="">
      <xdr:nvCxnSpPr>
        <xdr:cNvPr id="2" name="Vinklad  1">
          <a:extLst>
            <a:ext uri="{FF2B5EF4-FFF2-40B4-BE49-F238E27FC236}">
              <a16:creationId xmlns:a16="http://schemas.microsoft.com/office/drawing/2014/main" id="{5F9D17B8-5052-4FC5-A980-44B321D0F99B}"/>
            </a:ext>
          </a:extLst>
        </xdr:cNvPr>
        <xdr:cNvCxnSpPr/>
      </xdr:nvCxnSpPr>
      <xdr:spPr>
        <a:xfrm rot="16200000" flipV="1">
          <a:off x="3088959" y="3805238"/>
          <a:ext cx="1516380" cy="752474"/>
        </a:xfrm>
        <a:prstGeom prst="bentConnector3">
          <a:avLst>
            <a:gd name="adj1" fmla="val 9448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19051</xdr:colOff>
      <xdr:row>25</xdr:row>
      <xdr:rowOff>114300</xdr:rowOff>
    </xdr:from>
    <xdr:to>
      <xdr:col>4</xdr:col>
      <xdr:colOff>304800</xdr:colOff>
      <xdr:row>25</xdr:row>
      <xdr:rowOff>114300</xdr:rowOff>
    </xdr:to>
    <xdr:cxnSp macro="">
      <xdr:nvCxnSpPr>
        <xdr:cNvPr id="3" name="Rak 2">
          <a:extLst>
            <a:ext uri="{FF2B5EF4-FFF2-40B4-BE49-F238E27FC236}">
              <a16:creationId xmlns:a16="http://schemas.microsoft.com/office/drawing/2014/main" id="{4CA937F8-14D3-4287-9768-4E13BFF7509D}"/>
            </a:ext>
          </a:extLst>
        </xdr:cNvPr>
        <xdr:cNvCxnSpPr/>
      </xdr:nvCxnSpPr>
      <xdr:spPr>
        <a:xfrm flipH="1">
          <a:off x="3928111" y="4930140"/>
          <a:ext cx="28574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24926</xdr:colOff>
      <xdr:row>3</xdr:row>
      <xdr:rowOff>16932</xdr:rowOff>
    </xdr:from>
    <xdr:to>
      <xdr:col>2</xdr:col>
      <xdr:colOff>406438</xdr:colOff>
      <xdr:row>4</xdr:row>
      <xdr:rowOff>235400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B2A438F-8204-472C-9F4C-6AF935D4F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6993" y="753532"/>
          <a:ext cx="381512" cy="337001"/>
        </a:xfrm>
        <a:prstGeom prst="rect">
          <a:avLst/>
        </a:prstGeom>
      </xdr:spPr>
    </xdr:pic>
    <xdr:clientData/>
  </xdr:twoCellAnchor>
  <xdr:twoCellAnchor editAs="oneCell">
    <xdr:from>
      <xdr:col>4</xdr:col>
      <xdr:colOff>168674</xdr:colOff>
      <xdr:row>2</xdr:row>
      <xdr:rowOff>186267</xdr:rowOff>
    </xdr:from>
    <xdr:to>
      <xdr:col>4</xdr:col>
      <xdr:colOff>567299</xdr:colOff>
      <xdr:row>4</xdr:row>
      <xdr:rowOff>218475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DB6E32CA-83F4-4754-B65D-A178485DE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7874" y="728134"/>
          <a:ext cx="398625" cy="345474"/>
        </a:xfrm>
        <a:prstGeom prst="rect">
          <a:avLst/>
        </a:prstGeom>
      </xdr:spPr>
    </xdr:pic>
    <xdr:clientData/>
  </xdr:twoCellAnchor>
  <xdr:twoCellAnchor editAs="oneCell">
    <xdr:from>
      <xdr:col>6</xdr:col>
      <xdr:colOff>33867</xdr:colOff>
      <xdr:row>0</xdr:row>
      <xdr:rowOff>169340</xdr:rowOff>
    </xdr:from>
    <xdr:to>
      <xdr:col>9</xdr:col>
      <xdr:colOff>1936</xdr:colOff>
      <xdr:row>3</xdr:row>
      <xdr:rowOff>36296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C7EC9C8E-46B7-48DB-B623-B9A8A3790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0" y="169340"/>
          <a:ext cx="2804403" cy="603556"/>
        </a:xfrm>
        <a:prstGeom prst="rect">
          <a:avLst/>
        </a:prstGeom>
      </xdr:spPr>
    </xdr:pic>
    <xdr:clientData/>
  </xdr:twoCellAnchor>
  <xdr:twoCellAnchor editAs="oneCell">
    <xdr:from>
      <xdr:col>5</xdr:col>
      <xdr:colOff>328245</xdr:colOff>
      <xdr:row>11</xdr:row>
      <xdr:rowOff>101603</xdr:rowOff>
    </xdr:from>
    <xdr:to>
      <xdr:col>5</xdr:col>
      <xdr:colOff>609640</xdr:colOff>
      <xdr:row>12</xdr:row>
      <xdr:rowOff>210011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239470AF-33CF-4B8D-B5A5-861EF4C07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0378" y="2540003"/>
          <a:ext cx="281395" cy="243875"/>
        </a:xfrm>
        <a:prstGeom prst="rect">
          <a:avLst/>
        </a:prstGeom>
      </xdr:spPr>
    </xdr:pic>
    <xdr:clientData/>
  </xdr:twoCellAnchor>
  <xdr:twoCellAnchor editAs="oneCell">
    <xdr:from>
      <xdr:col>6</xdr:col>
      <xdr:colOff>522982</xdr:colOff>
      <xdr:row>11</xdr:row>
      <xdr:rowOff>101597</xdr:rowOff>
    </xdr:from>
    <xdr:to>
      <xdr:col>6</xdr:col>
      <xdr:colOff>804377</xdr:colOff>
      <xdr:row>12</xdr:row>
      <xdr:rowOff>210005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6ABB6A61-3BFA-4B0D-BB99-9FE75D53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849" y="2539997"/>
          <a:ext cx="281395" cy="243875"/>
        </a:xfrm>
        <a:prstGeom prst="rect">
          <a:avLst/>
        </a:prstGeom>
      </xdr:spPr>
    </xdr:pic>
    <xdr:clientData/>
  </xdr:twoCellAnchor>
  <xdr:twoCellAnchor editAs="oneCell">
    <xdr:from>
      <xdr:col>7</xdr:col>
      <xdr:colOff>370581</xdr:colOff>
      <xdr:row>11</xdr:row>
      <xdr:rowOff>93133</xdr:rowOff>
    </xdr:from>
    <xdr:to>
      <xdr:col>7</xdr:col>
      <xdr:colOff>651976</xdr:colOff>
      <xdr:row>12</xdr:row>
      <xdr:rowOff>201541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61DB2AC8-2A95-427E-98E8-0908FBE7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6181" y="2531533"/>
          <a:ext cx="281395" cy="243875"/>
        </a:xfrm>
        <a:prstGeom prst="rect">
          <a:avLst/>
        </a:prstGeom>
      </xdr:spPr>
    </xdr:pic>
    <xdr:clientData/>
  </xdr:twoCellAnchor>
  <xdr:twoCellAnchor editAs="oneCell">
    <xdr:from>
      <xdr:col>1</xdr:col>
      <xdr:colOff>837731</xdr:colOff>
      <xdr:row>3</xdr:row>
      <xdr:rowOff>16932</xdr:rowOff>
    </xdr:from>
    <xdr:to>
      <xdr:col>1</xdr:col>
      <xdr:colOff>1219243</xdr:colOff>
      <xdr:row>4</xdr:row>
      <xdr:rowOff>235400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1D27E82B-90D4-4D16-B8B7-E1FB6F51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331" y="753532"/>
          <a:ext cx="381512" cy="337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167883</xdr:colOff>
      <xdr:row>26</xdr:row>
      <xdr:rowOff>54916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2323434B-419F-4484-872C-E9EA0D347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10100"/>
          <a:ext cx="2804403" cy="603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373380</xdr:colOff>
      <xdr:row>0</xdr:row>
      <xdr:rowOff>601980</xdr:rowOff>
    </xdr:from>
    <xdr:to>
      <xdr:col>8</xdr:col>
      <xdr:colOff>129783</xdr:colOff>
      <xdr:row>4</xdr:row>
      <xdr:rowOff>12758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BC064DD-D076-4FC8-8E66-3D035BD9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601980"/>
          <a:ext cx="2537703" cy="546158"/>
        </a:xfrm>
        <a:prstGeom prst="rect">
          <a:avLst/>
        </a:prstGeom>
      </xdr:spPr>
    </xdr:pic>
    <xdr:clientData/>
  </xdr:twoCellAnchor>
  <xdr:twoCellAnchor editAs="oneCell">
    <xdr:from>
      <xdr:col>5</xdr:col>
      <xdr:colOff>776839</xdr:colOff>
      <xdr:row>11</xdr:row>
      <xdr:rowOff>45720</xdr:rowOff>
    </xdr:from>
    <xdr:to>
      <xdr:col>5</xdr:col>
      <xdr:colOff>1126271</xdr:colOff>
      <xdr:row>12</xdr:row>
      <xdr:rowOff>157002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EC209D8-4164-427A-BEFF-5E28018A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8659" y="2621280"/>
          <a:ext cx="349432" cy="301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65314</xdr:colOff>
      <xdr:row>0</xdr:row>
      <xdr:rowOff>54428</xdr:rowOff>
    </xdr:from>
    <xdr:to>
      <xdr:col>4</xdr:col>
      <xdr:colOff>228600</xdr:colOff>
      <xdr:row>1</xdr:row>
      <xdr:rowOff>85724</xdr:rowOff>
    </xdr:to>
    <xdr:sp macro="" textlink="">
      <xdr:nvSpPr>
        <xdr:cNvPr id="3" name="Rubrik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>
        <a:xfrm>
          <a:off x="206828" y="54428"/>
          <a:ext cx="2100943" cy="455839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sv-SE" sz="2400" b="1" baseline="0">
              <a:solidFill>
                <a:schemeClr val="accent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 Projektgården</a:t>
          </a:r>
          <a:endParaRPr lang="sv-SE" sz="2400" b="1">
            <a:solidFill>
              <a:schemeClr val="accent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  <xdr:twoCellAnchor>
    <xdr:from>
      <xdr:col>12</xdr:col>
      <xdr:colOff>151195</xdr:colOff>
      <xdr:row>15</xdr:row>
      <xdr:rowOff>351142</xdr:rowOff>
    </xdr:from>
    <xdr:to>
      <xdr:col>14</xdr:col>
      <xdr:colOff>98738</xdr:colOff>
      <xdr:row>17</xdr:row>
      <xdr:rowOff>154927</xdr:rowOff>
    </xdr:to>
    <xdr:sp macro="" textlink="">
      <xdr:nvSpPr>
        <xdr:cNvPr id="4" name="Pil: nedåt 3">
          <a:extLst>
            <a:ext uri="{FF2B5EF4-FFF2-40B4-BE49-F238E27FC236}">
              <a16:creationId xmlns:a16="http://schemas.microsoft.com/office/drawing/2014/main" id="{A484B30D-032C-4AFF-8726-D5B778D16341}"/>
            </a:ext>
          </a:extLst>
        </xdr:cNvPr>
        <xdr:cNvSpPr/>
      </xdr:nvSpPr>
      <xdr:spPr>
        <a:xfrm rot="2732128">
          <a:off x="7538274" y="3403463"/>
          <a:ext cx="500470" cy="6006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oneCellAnchor>
    <xdr:from>
      <xdr:col>13</xdr:col>
      <xdr:colOff>12250</xdr:colOff>
      <xdr:row>11</xdr:row>
      <xdr:rowOff>61226</xdr:rowOff>
    </xdr:from>
    <xdr:ext cx="1124026" cy="436786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6E95F2A7-6D34-40DF-9FCF-CE7E6EBCAA92}"/>
            </a:ext>
          </a:extLst>
        </xdr:cNvPr>
        <xdr:cNvSpPr txBox="1"/>
      </xdr:nvSpPr>
      <xdr:spPr>
        <a:xfrm>
          <a:off x="7545164" y="2336340"/>
          <a:ext cx="1124026" cy="43678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>
              <a:solidFill>
                <a:srgbClr val="C00000"/>
              </a:solidFill>
            </a:rPr>
            <a:t>Starta hyres-</a:t>
          </a:r>
        </a:p>
        <a:p>
          <a:r>
            <a:rPr lang="sv-SE" sz="1100">
              <a:solidFill>
                <a:srgbClr val="C00000"/>
              </a:solidFill>
            </a:rPr>
            <a:t>beräkningen här</a:t>
          </a:r>
        </a:p>
      </xdr:txBody>
    </xdr:sp>
    <xdr:clientData/>
  </xdr:oneCellAnchor>
  <xdr:twoCellAnchor>
    <xdr:from>
      <xdr:col>11</xdr:col>
      <xdr:colOff>65311</xdr:colOff>
      <xdr:row>10</xdr:row>
      <xdr:rowOff>60862</xdr:rowOff>
    </xdr:from>
    <xdr:to>
      <xdr:col>11</xdr:col>
      <xdr:colOff>1147804</xdr:colOff>
      <xdr:row>12</xdr:row>
      <xdr:rowOff>76200</xdr:rowOff>
    </xdr:to>
    <xdr:sp macro="" textlink="">
      <xdr:nvSpPr>
        <xdr:cNvPr id="6" name="Pil: nedåt 5">
          <a:extLst>
            <a:ext uri="{FF2B5EF4-FFF2-40B4-BE49-F238E27FC236}">
              <a16:creationId xmlns:a16="http://schemas.microsoft.com/office/drawing/2014/main" id="{ED737552-0CBD-4F38-9800-028BC5AF7E80}"/>
            </a:ext>
          </a:extLst>
        </xdr:cNvPr>
        <xdr:cNvSpPr/>
      </xdr:nvSpPr>
      <xdr:spPr>
        <a:xfrm rot="10800000">
          <a:off x="6215740" y="2150919"/>
          <a:ext cx="1082493" cy="39633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87086</xdr:colOff>
      <xdr:row>19</xdr:row>
      <xdr:rowOff>116638</xdr:rowOff>
    </xdr:from>
    <xdr:to>
      <xdr:col>5</xdr:col>
      <xdr:colOff>10885</xdr:colOff>
      <xdr:row>22</xdr:row>
      <xdr:rowOff>110975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24FA9453-75E4-41FE-ACFA-909C11DCE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830152"/>
          <a:ext cx="2503714" cy="549509"/>
        </a:xfrm>
        <a:prstGeom prst="rect">
          <a:avLst/>
        </a:prstGeom>
      </xdr:spPr>
    </xdr:pic>
    <xdr:clientData/>
  </xdr:twoCellAnchor>
  <xdr:twoCellAnchor editAs="oneCell">
    <xdr:from>
      <xdr:col>14</xdr:col>
      <xdr:colOff>30163</xdr:colOff>
      <xdr:row>15</xdr:row>
      <xdr:rowOff>7944</xdr:rowOff>
    </xdr:from>
    <xdr:to>
      <xdr:col>14</xdr:col>
      <xdr:colOff>369501</xdr:colOff>
      <xdr:row>15</xdr:row>
      <xdr:rowOff>410315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65FEE834-5A95-47F4-B994-E282D2F8C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878827">
          <a:off x="7988760" y="3141890"/>
          <a:ext cx="402371" cy="339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19051</xdr:rowOff>
    </xdr:from>
    <xdr:to>
      <xdr:col>8</xdr:col>
      <xdr:colOff>533400</xdr:colOff>
      <xdr:row>43</xdr:row>
      <xdr:rowOff>101600</xdr:rowOff>
    </xdr:to>
    <xdr:sp macro="" textlink="">
      <xdr:nvSpPr>
        <xdr:cNvPr id="5" name="Ellips 4">
          <a:extLst>
            <a:ext uri="{FF2B5EF4-FFF2-40B4-BE49-F238E27FC236}">
              <a16:creationId xmlns:a16="http://schemas.microsoft.com/office/drawing/2014/main" id="{1AF53001-5821-41BE-9260-7A515DF6DC59}"/>
            </a:ext>
          </a:extLst>
        </xdr:cNvPr>
        <xdr:cNvSpPr/>
      </xdr:nvSpPr>
      <xdr:spPr>
        <a:xfrm>
          <a:off x="5553075" y="7499351"/>
          <a:ext cx="3654425" cy="163194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609601</xdr:colOff>
      <xdr:row>44</xdr:row>
      <xdr:rowOff>38467</xdr:rowOff>
    </xdr:from>
    <xdr:to>
      <xdr:col>8</xdr:col>
      <xdr:colOff>547245</xdr:colOff>
      <xdr:row>50</xdr:row>
      <xdr:rowOff>0</xdr:rowOff>
    </xdr:to>
    <xdr:sp macro="" textlink="">
      <xdr:nvSpPr>
        <xdr:cNvPr id="6" name="Ellips 5">
          <a:extLst>
            <a:ext uri="{FF2B5EF4-FFF2-40B4-BE49-F238E27FC236}">
              <a16:creationId xmlns:a16="http://schemas.microsoft.com/office/drawing/2014/main" id="{87F2D233-5C57-48BE-B0D8-3AC721FBA5A6}"/>
            </a:ext>
          </a:extLst>
        </xdr:cNvPr>
        <xdr:cNvSpPr/>
      </xdr:nvSpPr>
      <xdr:spPr>
        <a:xfrm>
          <a:off x="5419726" y="9220567"/>
          <a:ext cx="3557144" cy="119025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38100</xdr:colOff>
      <xdr:row>51</xdr:row>
      <xdr:rowOff>42861</xdr:rowOff>
    </xdr:from>
    <xdr:to>
      <xdr:col>6</xdr:col>
      <xdr:colOff>571499</xdr:colOff>
      <xdr:row>62</xdr:row>
      <xdr:rowOff>57149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5DD1847-B6BB-4247-BF52-FE7047D75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939800</xdr:colOff>
      <xdr:row>17</xdr:row>
      <xdr:rowOff>127000</xdr:rowOff>
    </xdr:from>
    <xdr:to>
      <xdr:col>18</xdr:col>
      <xdr:colOff>127000</xdr:colOff>
      <xdr:row>19</xdr:row>
      <xdr:rowOff>88900</xdr:rowOff>
    </xdr:to>
    <xdr:sp macro="" textlink="">
      <xdr:nvSpPr>
        <xdr:cNvPr id="8" name="Ellips 7">
          <a:extLst>
            <a:ext uri="{FF2B5EF4-FFF2-40B4-BE49-F238E27FC236}">
              <a16:creationId xmlns:a16="http://schemas.microsoft.com/office/drawing/2014/main" id="{47EB3CFD-2EE2-42B9-A529-DBB91FAA91C6}"/>
            </a:ext>
          </a:extLst>
        </xdr:cNvPr>
        <xdr:cNvSpPr/>
      </xdr:nvSpPr>
      <xdr:spPr>
        <a:xfrm>
          <a:off x="15443200" y="3860800"/>
          <a:ext cx="1130300" cy="38100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18</xdr:col>
      <xdr:colOff>0</xdr:colOff>
      <xdr:row>5</xdr:row>
      <xdr:rowOff>12700</xdr:rowOff>
    </xdr:from>
    <xdr:to>
      <xdr:col>18</xdr:col>
      <xdr:colOff>317500</xdr:colOff>
      <xdr:row>11</xdr:row>
      <xdr:rowOff>177800</xdr:rowOff>
    </xdr:to>
    <xdr:sp macro="" textlink="">
      <xdr:nvSpPr>
        <xdr:cNvPr id="9" name="Höger klammerparentes 8">
          <a:extLst>
            <a:ext uri="{FF2B5EF4-FFF2-40B4-BE49-F238E27FC236}">
              <a16:creationId xmlns:a16="http://schemas.microsoft.com/office/drawing/2014/main" id="{2B5F1A3D-AA33-457E-9DE5-C60ECAF207A8}"/>
            </a:ext>
          </a:extLst>
        </xdr:cNvPr>
        <xdr:cNvSpPr/>
      </xdr:nvSpPr>
      <xdr:spPr>
        <a:xfrm>
          <a:off x="16738600" y="1358900"/>
          <a:ext cx="317500" cy="1308100"/>
        </a:xfrm>
        <a:prstGeom prst="rightBrac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18</xdr:col>
      <xdr:colOff>139700</xdr:colOff>
      <xdr:row>8</xdr:row>
      <xdr:rowOff>57150</xdr:rowOff>
    </xdr:from>
    <xdr:to>
      <xdr:col>18</xdr:col>
      <xdr:colOff>330200</xdr:colOff>
      <xdr:row>18</xdr:row>
      <xdr:rowOff>114300</xdr:rowOff>
    </xdr:to>
    <xdr:cxnSp macro="">
      <xdr:nvCxnSpPr>
        <xdr:cNvPr id="18" name="Koppling: vinklad 17">
          <a:extLst>
            <a:ext uri="{FF2B5EF4-FFF2-40B4-BE49-F238E27FC236}">
              <a16:creationId xmlns:a16="http://schemas.microsoft.com/office/drawing/2014/main" id="{BD83FDE6-8CD8-4F0C-B71F-654C12FD31C0}"/>
            </a:ext>
          </a:extLst>
        </xdr:cNvPr>
        <xdr:cNvCxnSpPr/>
      </xdr:nvCxnSpPr>
      <xdr:spPr>
        <a:xfrm rot="10800000" flipV="1">
          <a:off x="16878300" y="2012950"/>
          <a:ext cx="190500" cy="2038350"/>
        </a:xfrm>
        <a:prstGeom prst="bentConnector5">
          <a:avLst>
            <a:gd name="adj1" fmla="val -100000"/>
            <a:gd name="adj2" fmla="val 61371"/>
            <a:gd name="adj3" fmla="val -20000"/>
          </a:avLst>
        </a:prstGeom>
        <a:ln w="41275">
          <a:headEnd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266700</xdr:colOff>
      <xdr:row>18</xdr:row>
      <xdr:rowOff>164708</xdr:rowOff>
    </xdr:from>
    <xdr:to>
      <xdr:col>2</xdr:col>
      <xdr:colOff>927100</xdr:colOff>
      <xdr:row>21</xdr:row>
      <xdr:rowOff>238369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C0779F61-8849-4633-ABBA-7974DF22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4140" y="4614788"/>
          <a:ext cx="660400" cy="591821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114300</xdr:colOff>
      <xdr:row>0</xdr:row>
      <xdr:rowOff>241300</xdr:rowOff>
    </xdr:from>
    <xdr:to>
      <xdr:col>17</xdr:col>
      <xdr:colOff>778822</xdr:colOff>
      <xdr:row>2</xdr:row>
      <xdr:rowOff>45770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330710CE-580D-45B8-A9A2-AB9450CDF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43300" y="241300"/>
          <a:ext cx="664522" cy="579170"/>
        </a:xfrm>
        <a:prstGeom prst="rect">
          <a:avLst/>
        </a:prstGeom>
      </xdr:spPr>
    </xdr:pic>
    <xdr:clientData/>
  </xdr:twoCellAnchor>
  <xdr:twoCellAnchor>
    <xdr:from>
      <xdr:col>9</xdr:col>
      <xdr:colOff>472440</xdr:colOff>
      <xdr:row>35</xdr:row>
      <xdr:rowOff>99060</xdr:rowOff>
    </xdr:from>
    <xdr:to>
      <xdr:col>14</xdr:col>
      <xdr:colOff>838200</xdr:colOff>
      <xdr:row>49</xdr:row>
      <xdr:rowOff>121920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F4D3C6D-8CA6-4778-913F-8EFCC408E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101600</xdr:colOff>
      <xdr:row>55</xdr:row>
      <xdr:rowOff>114300</xdr:rowOff>
    </xdr:from>
    <xdr:to>
      <xdr:col>18</xdr:col>
      <xdr:colOff>66889</xdr:colOff>
      <xdr:row>60</xdr:row>
      <xdr:rowOff>40640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485528E-0A99-484D-BB94-5BAE0B85D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24100" y="11836400"/>
          <a:ext cx="3889589" cy="81534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152400</xdr:rowOff>
    </xdr:from>
    <xdr:to>
      <xdr:col>9</xdr:col>
      <xdr:colOff>76200</xdr:colOff>
      <xdr:row>2</xdr:row>
      <xdr:rowOff>38862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715B3ADF-7B29-4790-A980-30FA0B9EC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56120" y="152400"/>
          <a:ext cx="3154680" cy="678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426720</xdr:colOff>
      <xdr:row>19</xdr:row>
      <xdr:rowOff>121920</xdr:rowOff>
    </xdr:from>
    <xdr:to>
      <xdr:col>10</xdr:col>
      <xdr:colOff>829091</xdr:colOff>
      <xdr:row>21</xdr:row>
      <xdr:rowOff>141762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77247E04-8594-4832-9A51-7A129C3F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01400" y="4785360"/>
          <a:ext cx="402371" cy="339882"/>
        </a:xfrm>
        <a:prstGeom prst="rect">
          <a:avLst/>
        </a:prstGeom>
      </xdr:spPr>
    </xdr:pic>
    <xdr:clientData/>
  </xdr:twoCellAnchor>
  <xdr:twoCellAnchor editAs="oneCell">
    <xdr:from>
      <xdr:col>3</xdr:col>
      <xdr:colOff>40999</xdr:colOff>
      <xdr:row>39</xdr:row>
      <xdr:rowOff>205639</xdr:rowOff>
    </xdr:from>
    <xdr:to>
      <xdr:col>3</xdr:col>
      <xdr:colOff>622660</xdr:colOff>
      <xdr:row>42</xdr:row>
      <xdr:rowOff>13927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9C1411D7-2D29-469D-B229-24B387335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3291333">
          <a:off x="3602686" y="8848652"/>
          <a:ext cx="392488" cy="581661"/>
        </a:xfrm>
        <a:prstGeom prst="rect">
          <a:avLst/>
        </a:prstGeom>
      </xdr:spPr>
    </xdr:pic>
    <xdr:clientData/>
  </xdr:twoCellAnchor>
  <xdr:twoCellAnchor editAs="oneCell">
    <xdr:from>
      <xdr:col>3</xdr:col>
      <xdr:colOff>42143</xdr:colOff>
      <xdr:row>42</xdr:row>
      <xdr:rowOff>99655</xdr:rowOff>
    </xdr:from>
    <xdr:to>
      <xdr:col>3</xdr:col>
      <xdr:colOff>623804</xdr:colOff>
      <xdr:row>45</xdr:row>
      <xdr:rowOff>6843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8CD31216-8C5F-472F-9E8C-AB476E8CA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3291333">
          <a:off x="3579780" y="9350918"/>
          <a:ext cx="440588" cy="5816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414872</xdr:colOff>
      <xdr:row>1</xdr:row>
      <xdr:rowOff>110071</xdr:rowOff>
    </xdr:from>
    <xdr:to>
      <xdr:col>10</xdr:col>
      <xdr:colOff>811146</xdr:colOff>
      <xdr:row>2</xdr:row>
      <xdr:rowOff>110439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BC71797-26B7-4AEA-A8E8-A8718E40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8272" y="228604"/>
          <a:ext cx="396274" cy="3475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135461</xdr:rowOff>
    </xdr:from>
    <xdr:to>
      <xdr:col>4</xdr:col>
      <xdr:colOff>493003</xdr:colOff>
      <xdr:row>25</xdr:row>
      <xdr:rowOff>180217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281BFEF-3493-4CEA-8FC1-294A24DA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4936061"/>
          <a:ext cx="2804403" cy="603556"/>
        </a:xfrm>
        <a:prstGeom prst="rect">
          <a:avLst/>
        </a:prstGeom>
      </xdr:spPr>
    </xdr:pic>
    <xdr:clientData/>
  </xdr:twoCellAnchor>
  <xdr:twoCellAnchor>
    <xdr:from>
      <xdr:col>10</xdr:col>
      <xdr:colOff>973671</xdr:colOff>
      <xdr:row>3</xdr:row>
      <xdr:rowOff>93133</xdr:rowOff>
    </xdr:from>
    <xdr:to>
      <xdr:col>11</xdr:col>
      <xdr:colOff>110064</xdr:colOff>
      <xdr:row>19</xdr:row>
      <xdr:rowOff>84667</xdr:rowOff>
    </xdr:to>
    <xdr:cxnSp macro="">
      <xdr:nvCxnSpPr>
        <xdr:cNvPr id="5" name="Koppling: vinklad 4">
          <a:extLst>
            <a:ext uri="{FF2B5EF4-FFF2-40B4-BE49-F238E27FC236}">
              <a16:creationId xmlns:a16="http://schemas.microsoft.com/office/drawing/2014/main" id="{8289AA91-AFDD-4FA5-9444-5386AE2FA52A}"/>
            </a:ext>
          </a:extLst>
        </xdr:cNvPr>
        <xdr:cNvCxnSpPr/>
      </xdr:nvCxnSpPr>
      <xdr:spPr>
        <a:xfrm rot="16200000" flipV="1">
          <a:off x="6167967" y="2442637"/>
          <a:ext cx="3429001" cy="203193"/>
        </a:xfrm>
        <a:prstGeom prst="bentConnector3">
          <a:avLst>
            <a:gd name="adj1" fmla="val 82840"/>
          </a:avLst>
        </a:prstGeom>
        <a:ln w="41275">
          <a:headEnd w="med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22</xdr:row>
      <xdr:rowOff>19050</xdr:rowOff>
    </xdr:from>
    <xdr:to>
      <xdr:col>5</xdr:col>
      <xdr:colOff>9525</xdr:colOff>
      <xdr:row>24</xdr:row>
      <xdr:rowOff>19050</xdr:rowOff>
    </xdr:to>
    <xdr:sp macro="[1]!NyInmatning" textlink="">
      <xdr:nvSpPr>
        <xdr:cNvPr id="2" name="Rektangel 1">
          <a:extLst>
            <a:ext uri="{FF2B5EF4-FFF2-40B4-BE49-F238E27FC236}">
              <a16:creationId xmlns:a16="http://schemas.microsoft.com/office/drawing/2014/main" id="{27BF1B31-84FA-430C-8D5C-ECFAB7597BD7}"/>
            </a:ext>
          </a:extLst>
        </xdr:cNvPr>
        <xdr:cNvSpPr/>
      </xdr:nvSpPr>
      <xdr:spPr>
        <a:xfrm>
          <a:off x="3400425" y="4419600"/>
          <a:ext cx="1743075" cy="381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innerShdw blurRad="114300">
            <a:prstClr val="black"/>
          </a:innerShdw>
        </a:effectLst>
        <a:scene3d>
          <a:camera prst="perspectiveFron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Rensa/ny inmatning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390525</xdr:colOff>
      <xdr:row>24</xdr:row>
      <xdr:rowOff>0</xdr:rowOff>
    </xdr:to>
    <xdr:sp macro="[1]!SkrivUt" textlink="">
      <xdr:nvSpPr>
        <xdr:cNvPr id="3" name="Rektangel 2">
          <a:extLst>
            <a:ext uri="{FF2B5EF4-FFF2-40B4-BE49-F238E27FC236}">
              <a16:creationId xmlns:a16="http://schemas.microsoft.com/office/drawing/2014/main" id="{756CB3E7-8BFC-4FE3-98A7-A8D4E09E1CE7}"/>
            </a:ext>
          </a:extLst>
        </xdr:cNvPr>
        <xdr:cNvSpPr/>
      </xdr:nvSpPr>
      <xdr:spPr>
        <a:xfrm>
          <a:off x="5819775" y="4400550"/>
          <a:ext cx="1743075" cy="381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innerShdw blurRad="114300">
            <a:prstClr val="black"/>
          </a:innerShdw>
        </a:effectLst>
        <a:scene3d>
          <a:camera prst="perspectiveFron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Skriv ut</a:t>
          </a:r>
        </a:p>
      </xdr:txBody>
    </xdr:sp>
    <xdr:clientData/>
  </xdr:twoCellAnchor>
  <xdr:twoCellAnchor editAs="oneCell">
    <xdr:from>
      <xdr:col>9</xdr:col>
      <xdr:colOff>0</xdr:colOff>
      <xdr:row>80</xdr:row>
      <xdr:rowOff>0</xdr:rowOff>
    </xdr:from>
    <xdr:to>
      <xdr:col>9</xdr:col>
      <xdr:colOff>402371</xdr:colOff>
      <xdr:row>81</xdr:row>
      <xdr:rowOff>167393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18FEE43-3268-471B-85C7-828715D07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0" y="15156873"/>
          <a:ext cx="402371" cy="347502"/>
        </a:xfrm>
        <a:prstGeom prst="rect">
          <a:avLst/>
        </a:prstGeom>
      </xdr:spPr>
    </xdr:pic>
    <xdr:clientData/>
  </xdr:twoCellAnchor>
  <xdr:twoCellAnchor editAs="oneCell">
    <xdr:from>
      <xdr:col>5</xdr:col>
      <xdr:colOff>96981</xdr:colOff>
      <xdr:row>17</xdr:row>
      <xdr:rowOff>298151</xdr:rowOff>
    </xdr:from>
    <xdr:to>
      <xdr:col>5</xdr:col>
      <xdr:colOff>374937</xdr:colOff>
      <xdr:row>19</xdr:row>
      <xdr:rowOff>65813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5F596D7-23AC-48E5-9ACE-1BF7E0664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5298201" y="3568986"/>
          <a:ext cx="321844" cy="277956"/>
        </a:xfrm>
        <a:prstGeom prst="rect">
          <a:avLst/>
        </a:prstGeom>
      </xdr:spPr>
    </xdr:pic>
    <xdr:clientData/>
  </xdr:twoCellAnchor>
  <xdr:twoCellAnchor editAs="oneCell">
    <xdr:from>
      <xdr:col>5</xdr:col>
      <xdr:colOff>68141</xdr:colOff>
      <xdr:row>8</xdr:row>
      <xdr:rowOff>90057</xdr:rowOff>
    </xdr:from>
    <xdr:to>
      <xdr:col>5</xdr:col>
      <xdr:colOff>348795</xdr:colOff>
      <xdr:row>10</xdr:row>
      <xdr:rowOff>53672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6F8650E1-9EBC-4CB6-AAD6-E66909040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5269715" y="1739556"/>
          <a:ext cx="323833" cy="280654"/>
        </a:xfrm>
        <a:prstGeom prst="rect">
          <a:avLst/>
        </a:prstGeom>
      </xdr:spPr>
    </xdr:pic>
    <xdr:clientData/>
  </xdr:twoCellAnchor>
  <xdr:twoCellAnchor editAs="oneCell">
    <xdr:from>
      <xdr:col>5</xdr:col>
      <xdr:colOff>91392</xdr:colOff>
      <xdr:row>19</xdr:row>
      <xdr:rowOff>117766</xdr:rowOff>
    </xdr:from>
    <xdr:to>
      <xdr:col>5</xdr:col>
      <xdr:colOff>372047</xdr:colOff>
      <xdr:row>21</xdr:row>
      <xdr:rowOff>81382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A01F0262-E5A1-4C29-9841-B9A6D92E3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5292967" y="3942428"/>
          <a:ext cx="323834" cy="2806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1</xdr:row>
      <xdr:rowOff>0</xdr:rowOff>
    </xdr:from>
    <xdr:to>
      <xdr:col>7</xdr:col>
      <xdr:colOff>1166103</xdr:colOff>
      <xdr:row>3</xdr:row>
      <xdr:rowOff>222556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DF5638F-123D-4A4A-8C1F-AE8EC5340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609600"/>
          <a:ext cx="2804403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bc547e5cb62c930d/AA%20Kiladalens%20Utveckling%20AB/BOST&#196;DER/Processdokument%20fas%20I/Ans&#246;kningar%5eJ%20Processer%5eJ%20Utredningar%5eJ%20enk&#228;ter/Bost&#228;der/Boverket%20och%20L&#228;nsstyrelsen/Boverket%20&#214;verkompensationsmodell.xlsm?D4A3F1C2" TargetMode="External"/><Relationship Id="rId1" Type="http://schemas.openxmlformats.org/officeDocument/2006/relationships/externalLinkPath" Target="file:///\\D4A3F1C2\Boverket%20&#214;verkompensationsmodel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"/>
      <sheetName val="Blad1"/>
      <sheetName val="Boverket Överkompensationsmodel"/>
    </sheetNames>
    <definedNames>
      <definedName name="NyInmatning"/>
      <definedName name="SkrivUt"/>
    </defined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nnar Casserstedt" id="{7943CCAD-064C-4BFD-92EF-F99DC63E54D7}" userId="bc547e5cb62c930d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1-02-06T11:32:51.04" personId="{7943CCAD-064C-4BFD-92EF-F99DC63E54D7}" id="{B501EA90-326A-436D-B9B3-28DE08C288D9}">
    <text>Referensvärde 35 m2</text>
  </threadedComment>
  <threadedComment ref="C8" dT="2021-02-06T11:33:14.18" personId="{7943CCAD-064C-4BFD-92EF-F99DC63E54D7}" id="{9BFAECD5-1B19-43B1-B1C3-C989AF66792C}">
    <text>Referensvärde 60 m2</text>
  </threadedComment>
  <threadedComment ref="C9" dT="2021-02-06T11:33:35.62" personId="{7943CCAD-064C-4BFD-92EF-F99DC63E54D7}" id="{9DCFB5E3-6460-4522-BD9F-9D8FF4E9E801}">
    <text>Referensväfde 70 m2</text>
  </threadedComment>
  <threadedComment ref="C10" dT="2021-02-06T11:33:50.18" personId="{7943CCAD-064C-4BFD-92EF-F99DC63E54D7}" id="{06D0BD15-90F5-443A-B299-2E995CB17F5F}">
    <text>Referensvärde 85 m2</text>
  </threadedComment>
  <threadedComment ref="F15" dT="2021-02-06T09:44:59.26" personId="{7943CCAD-064C-4BFD-92EF-F99DC63E54D7}" id="{0BAB2BBF-4C3A-4B00-AF79-F023A203A1E3}">
    <text>Bedöm räntesats; standardvärde 2%</text>
  </threadedComment>
  <threadedComment ref="G15" dT="2021-02-06T09:45:44.67" personId="{7943CCAD-064C-4BFD-92EF-F99DC63E54D7}" id="{4ECED6E4-CBBB-4523-8972-4573F30550CC}">
    <text>Förhandlingsbar tid mellan 50 -55 år; kan vara längre.</text>
  </threadedComment>
  <threadedComment ref="H15" dT="2021-02-06T09:46:30.99" personId="{7943CCAD-064C-4BFD-92EF-F99DC63E54D7}" id="{BED514DD-40A4-4CB1-BA73-3AA74AA0A3E7}">
    <text>Maximal avskrinving är 2% per år vilket motsvarar 50 år.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7" dT="2021-02-06T09:29:00.60" personId="{7943CCAD-064C-4BFD-92EF-F99DC63E54D7}" id="{E8D8605D-9EC9-455C-9FE7-3DE33D191E56}">
    <text>Standardkostnad 35 000 kr per lägenhet</text>
  </threadedComment>
  <threadedComment ref="F18" dT="2021-02-06T09:30:16.14" personId="{7943CCAD-064C-4BFD-92EF-F99DC63E54D7}" id="{49A4A68A-387E-4683-9C31-717130EA0151}">
    <text>Standardkostnad 50 000 kronor per byggnad</text>
  </threadedComment>
  <threadedComment ref="F23" dT="2021-02-06T09:29:33.28" personId="{7943CCAD-064C-4BFD-92EF-F99DC63E54D7}" id="{E3C1DE7D-2B65-44EB-AAC3-8DCF77EC05EB}">
    <text>Standardkostnad 100 000 kronor</text>
  </threadedComment>
  <threadedComment ref="F24" dT="2021-02-06T09:32:47.85" personId="{7943CCAD-064C-4BFD-92EF-F99DC63E54D7}" id="{7C9C7FC3-55B3-47BE-837F-D180F2D715DA}">
    <text>Standardkostnad mellan 50 000 - 100 000 kronor</text>
  </threadedComment>
  <threadedComment ref="F25" dT="2021-02-06T09:31:33.14" personId="{7943CCAD-064C-4BFD-92EF-F99DC63E54D7}" id="{CFDB60F8-C023-4378-88DD-D19ADBB55648}">
    <text>Standardkostnad i spannet 0,5-1 miljon kronor</text>
  </threadedComment>
  <threadedComment ref="F27" dT="2021-02-06T09:33:22.92" personId="{7943CCAD-064C-4BFD-92EF-F99DC63E54D7}" id="{4F2CF9DB-07A6-405C-8D9F-479DCBD707F5}">
    <text>Standardkostnad 20 000 kronor</text>
  </threadedComment>
  <threadedComment ref="F30" dT="2021-02-06T09:35:00.37" personId="{7943CCAD-064C-4BFD-92EF-F99DC63E54D7}" id="{0CF4E11B-1950-4693-8CD2-215DDD757929}">
    <text>Standardkostnad 200 000 per förråd på fastigheten</text>
  </threadedComment>
  <threadedComment ref="F31" dT="2021-02-06T09:36:02.49" personId="{7943CCAD-064C-4BFD-92EF-F99DC63E54D7}" id="{6366F083-B60F-41F9-B2AC-DB93ECB9BEDD}">
    <text>Standardkostnad 10 000 kronor per lägenhet</text>
  </threadedComment>
  <threadedComment ref="F48" dT="2021-02-06T09:36:25.49" personId="{7943CCAD-064C-4BFD-92EF-F99DC63E54D7}" id="{E071EDA7-C65F-4BFE-9865-4432756737D7}">
    <text>Standardkostnad 1 miljon kronor per lägenhet</text>
  </threadedComment>
  <threadedComment ref="F60" dT="2021-02-06T09:38:41.40" personId="{7943CCAD-064C-4BFD-92EF-F99DC63E54D7}" id="{24024AC2-C1A3-4562-B3DC-EFEDA43DAF8C}">
    <text>Standardkostnad 6 000 kronor per lägenhet</text>
  </threadedComment>
  <threadedComment ref="F62" dT="2021-02-06T09:39:15.50" personId="{7943CCAD-064C-4BFD-92EF-F99DC63E54D7}" id="{C3CE9534-BF13-4C35-AD04-73CC467846B0}">
    <text>Standardkostnad 30 000 kronor</text>
  </threadedComment>
  <threadedComment ref="F62" dT="2021-02-06T09:40:46.23" personId="{7943CCAD-064C-4BFD-92EF-F99DC63E54D7}" id="{BE600F38-59FC-4D57-8381-4A917EBE6FB3}" parentId="{C3CE9534-BF13-4C35-AD04-73CC467846B0}">
    <text>Standardkostnad 30 000 kronor</text>
  </threadedComment>
  <threadedComment ref="F63" dT="2021-02-06T09:41:45.18" personId="{7943CCAD-064C-4BFD-92EF-F99DC63E54D7}" id="{9C874174-4315-4500-939F-4F9CB7705A3E}">
    <text>Standardkostnad för kontrollansvarig 35 000 - 40 000 kronor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R6" dT="2021-02-06T10:14:51.11" personId="{7943CCAD-064C-4BFD-92EF-F99DC63E54D7}" id="{10BF162F-CA0F-4A09-A753-0A62F20B71CF}">
    <text>Bedöm driftskostnaderna. Se referensvärden till vänster under /M2.</text>
  </threadedComment>
  <threadedComment ref="R7" dT="2021-02-06T10:16:05.94" personId="{7943CCAD-064C-4BFD-92EF-F99DC63E54D7}" id="{12A8DABD-EF25-46DD-A31A-B0A509BE8AD4}">
    <text>Bedöm driftskostnaderna. Se referensvärden.</text>
  </threadedComment>
  <threadedComment ref="R8" dT="2021-02-06T10:16:26.50" personId="{7943CCAD-064C-4BFD-92EF-F99DC63E54D7}" id="{B48394D6-7CE5-4591-BC84-67A897B94806}">
    <text>Bedöm driftskostnaderna. Se referensvärden.</text>
  </threadedComment>
  <threadedComment ref="R9" dT="2021-02-06T10:16:54.68" personId="{7943CCAD-064C-4BFD-92EF-F99DC63E54D7}" id="{E298B44B-AE45-421E-8A73-9451D3823F01}">
    <text>Bedöm driftskostnaderna. Se referensvärden.</text>
  </threadedComment>
  <threadedComment ref="R10" dT="2021-02-06T10:17:18.14" personId="{7943CCAD-064C-4BFD-92EF-F99DC63E54D7}" id="{1D3078DB-3A60-49C5-B346-6BC653B08083}">
    <text>Bedöm driftskostnaderna. Se referensvärden.</text>
  </threadedComment>
  <threadedComment ref="R11" dT="2021-02-06T10:18:02.00" personId="{7943CCAD-064C-4BFD-92EF-F99DC63E54D7}" id="{1CAF35AC-664A-4E76-8894-D7BC8DC1726E}">
    <text>Bedöm driftskostnaderna. Se referensvärden.</text>
  </threadedComment>
  <threadedComment ref="R12" dT="2021-02-06T10:19:09.69" personId="{7943CCAD-064C-4BFD-92EF-F99DC63E54D7}" id="{B1B9F4B1-95BE-477A-A676-FCB776C60D08}">
    <text>Bedöm fastighetsskatten. Se referensvärde. Mellan 10-15 kronor / m2.</text>
  </threadedComment>
  <threadedComment ref="C26" dT="2021-02-06T10:12:20.30" personId="{7943CCAD-064C-4BFD-92EF-F99DC63E54D7}" id="{042F8099-97E6-4829-AE72-96FDD87CC54B}">
    <text>Bedöm räntesats för byggnadskreditivet; något högre än placerad ränta.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9310-5494-4B86-B921-2B25AD2C7B99}">
  <dimension ref="A1:A3"/>
  <sheetViews>
    <sheetView zoomScale="120" zoomScaleNormal="120" workbookViewId="0">
      <selection sqref="A1:XFD1"/>
    </sheetView>
  </sheetViews>
  <sheetFormatPr defaultRowHeight="14.4" x14ac:dyDescent="0.3"/>
  <cols>
    <col min="1" max="16384" width="8.88671875" style="70"/>
  </cols>
  <sheetData>
    <row r="1" s="70" customFormat="1" x14ac:dyDescent="0.3"/>
    <row r="2" s="70" customFormat="1" x14ac:dyDescent="0.3"/>
    <row r="3" s="70" customFormat="1" x14ac:dyDescent="0.3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776A-6565-4049-9761-9EE8548C4135}">
  <dimension ref="A1:T172"/>
  <sheetViews>
    <sheetView zoomScale="90" zoomScaleNormal="90" workbookViewId="0">
      <selection activeCell="H7" sqref="H7"/>
    </sheetView>
  </sheetViews>
  <sheetFormatPr defaultRowHeight="14.4" x14ac:dyDescent="0.3"/>
  <cols>
    <col min="1" max="1" width="3.33203125" style="70" customWidth="1"/>
    <col min="2" max="2" width="29.88671875" customWidth="1"/>
    <col min="3" max="3" width="6.109375" customWidth="1"/>
    <col min="4" max="4" width="15.44140625" customWidth="1"/>
    <col min="5" max="5" width="10.77734375" customWidth="1"/>
    <col min="6" max="8" width="14" customWidth="1"/>
    <col min="9" max="9" width="13.44140625" customWidth="1"/>
    <col min="10" max="10" width="2.33203125" customWidth="1"/>
    <col min="11" max="11" width="10.88671875" style="70" bestFit="1" customWidth="1"/>
    <col min="12" max="20" width="8.88671875" style="70"/>
  </cols>
  <sheetData>
    <row r="1" spans="1:20" s="235" customFormat="1" ht="27" customHeight="1" thickBot="1" x14ac:dyDescent="0.35">
      <c r="A1" s="341"/>
      <c r="B1" s="341" t="s">
        <v>258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1:20" ht="15" thickBot="1" x14ac:dyDescent="0.35">
      <c r="B2" s="477">
        <v>44197</v>
      </c>
      <c r="C2" s="70"/>
      <c r="D2" s="70"/>
      <c r="E2" s="70"/>
      <c r="F2" s="70"/>
      <c r="G2" s="70"/>
      <c r="H2" s="70"/>
      <c r="I2" s="70"/>
      <c r="J2" s="298"/>
    </row>
    <row r="3" spans="1:20" ht="15" thickBot="1" x14ac:dyDescent="0.35">
      <c r="B3" s="299" t="s">
        <v>247</v>
      </c>
      <c r="C3" s="70"/>
      <c r="D3" s="70"/>
      <c r="E3" s="70"/>
      <c r="F3" s="70"/>
      <c r="G3" s="70"/>
      <c r="H3" s="70"/>
      <c r="I3" s="70"/>
      <c r="J3" s="70"/>
    </row>
    <row r="4" spans="1:20" ht="9.75" customHeight="1" x14ac:dyDescent="0.3">
      <c r="B4" s="70"/>
      <c r="C4" s="70"/>
      <c r="D4" s="514" t="s">
        <v>263</v>
      </c>
      <c r="E4" s="70"/>
      <c r="G4" s="70"/>
      <c r="H4" s="70"/>
      <c r="I4" s="70"/>
      <c r="J4" s="70"/>
    </row>
    <row r="5" spans="1:20" ht="21.6" thickBot="1" x14ac:dyDescent="0.45">
      <c r="B5" s="300" t="s">
        <v>22</v>
      </c>
      <c r="C5" s="70"/>
      <c r="D5" s="515" t="s">
        <v>264</v>
      </c>
      <c r="E5" s="70"/>
      <c r="F5" s="70"/>
      <c r="G5" s="70"/>
      <c r="H5" s="70"/>
      <c r="I5" s="70"/>
      <c r="J5" s="70"/>
    </row>
    <row r="6" spans="1:20" s="40" customFormat="1" ht="28.8" x14ac:dyDescent="0.3">
      <c r="A6" s="88"/>
      <c r="B6" s="245" t="s">
        <v>304</v>
      </c>
      <c r="C6" s="238" t="s">
        <v>16</v>
      </c>
      <c r="D6" s="239" t="s">
        <v>18</v>
      </c>
      <c r="E6" s="239" t="s">
        <v>17</v>
      </c>
      <c r="F6" s="240" t="s">
        <v>229</v>
      </c>
      <c r="G6" s="240" t="s">
        <v>20</v>
      </c>
      <c r="H6" s="240" t="s">
        <v>21</v>
      </c>
      <c r="I6" s="246" t="s">
        <v>92</v>
      </c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x14ac:dyDescent="0.3">
      <c r="B7" s="660">
        <v>0</v>
      </c>
      <c r="C7" s="549">
        <v>0</v>
      </c>
      <c r="D7" s="6">
        <f>SUM(H7)*12</f>
        <v>63948</v>
      </c>
      <c r="E7" s="549">
        <v>0</v>
      </c>
      <c r="F7" s="8" t="e">
        <f>SUM(H7)/C7*12</f>
        <v>#DIV/0!</v>
      </c>
      <c r="G7" s="20">
        <f>SUM(C7)*E7</f>
        <v>0</v>
      </c>
      <c r="H7" s="327">
        <f>SUM(Hyresavgifter!L19)</f>
        <v>5329</v>
      </c>
      <c r="I7" s="247">
        <f>SUM(E7)*H7*12</f>
        <v>0</v>
      </c>
      <c r="J7" s="70"/>
    </row>
    <row r="8" spans="1:20" x14ac:dyDescent="0.3">
      <c r="B8" s="661">
        <v>0</v>
      </c>
      <c r="C8" s="549">
        <v>0</v>
      </c>
      <c r="D8" s="6">
        <f>SUM(H8)*12</f>
        <v>92556</v>
      </c>
      <c r="E8" s="549">
        <v>0</v>
      </c>
      <c r="F8" s="8" t="e">
        <f>SUM(H8)/C8*12</f>
        <v>#DIV/0!</v>
      </c>
      <c r="G8" s="21">
        <f>SUM(C8)*E8</f>
        <v>0</v>
      </c>
      <c r="H8" s="328">
        <f>SUM(Hyresavgifter!L20)</f>
        <v>7713</v>
      </c>
      <c r="I8" s="248">
        <f>SUM(E8)*H8*12</f>
        <v>0</v>
      </c>
      <c r="J8" s="70"/>
      <c r="K8" s="83"/>
    </row>
    <row r="9" spans="1:20" x14ac:dyDescent="0.3">
      <c r="B9" s="661">
        <v>0</v>
      </c>
      <c r="C9" s="549">
        <v>0</v>
      </c>
      <c r="D9" s="6">
        <f>SUM(H9)*12</f>
        <v>103896</v>
      </c>
      <c r="E9" s="549">
        <v>0</v>
      </c>
      <c r="F9" s="8" t="e">
        <f>SUM(H9)/C9*12</f>
        <v>#DIV/0!</v>
      </c>
      <c r="G9" s="21">
        <f>SUM(C9)*E9</f>
        <v>0</v>
      </c>
      <c r="H9" s="328">
        <f>SUM(Hyresavgifter!L21)</f>
        <v>8658</v>
      </c>
      <c r="I9" s="248">
        <f>SUM(E9)*H9*12</f>
        <v>0</v>
      </c>
      <c r="J9" s="70"/>
      <c r="K9" s="83"/>
    </row>
    <row r="10" spans="1:20" ht="15" thickBot="1" x14ac:dyDescent="0.35">
      <c r="B10" s="659">
        <v>0</v>
      </c>
      <c r="C10" s="549">
        <v>0</v>
      </c>
      <c r="D10" s="59">
        <f>SUM(H10)*12</f>
        <v>103344</v>
      </c>
      <c r="E10" s="549">
        <v>0</v>
      </c>
      <c r="F10" s="8" t="e">
        <f>SUM(H10)/C10*12</f>
        <v>#DIV/0!</v>
      </c>
      <c r="G10" s="21">
        <f>SUM(C10)*E10</f>
        <v>0</v>
      </c>
      <c r="H10" s="328">
        <f>SUM(Hyresavgifter!L22)</f>
        <v>8612</v>
      </c>
      <c r="I10" s="249">
        <f>SUM(E10)*H10*12</f>
        <v>0</v>
      </c>
      <c r="J10" s="70"/>
    </row>
    <row r="11" spans="1:20" s="3" customFormat="1" ht="15" thickBot="1" x14ac:dyDescent="0.35">
      <c r="A11" s="71"/>
      <c r="B11" s="31" t="s">
        <v>19</v>
      </c>
      <c r="C11" s="316"/>
      <c r="D11" s="260" t="s">
        <v>230</v>
      </c>
      <c r="E11" s="459">
        <f>SUM(E7:E10)</f>
        <v>0</v>
      </c>
      <c r="F11" s="445" t="e">
        <f>SUM(I11)/B15</f>
        <v>#DIV/0!</v>
      </c>
      <c r="G11" s="63">
        <f>SUM(G7:G10)</f>
        <v>0</v>
      </c>
      <c r="H11" s="318">
        <f>SUM(H7)+(H8*2)+(H9*2)+(H10*7)</f>
        <v>98355</v>
      </c>
      <c r="I11" s="30">
        <f>SUM(I7:I10)* 97.5%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s="3" customFormat="1" ht="11.25" customHeight="1" x14ac:dyDescent="0.3">
      <c r="A12" s="71"/>
      <c r="B12" s="71"/>
      <c r="C12" s="71"/>
      <c r="D12" s="71"/>
      <c r="E12" s="71"/>
      <c r="F12" s="72"/>
      <c r="G12" s="71"/>
      <c r="H12" s="303" t="s">
        <v>208</v>
      </c>
      <c r="I12" s="71"/>
      <c r="J12" s="30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s="3" customFormat="1" ht="21.6" thickBot="1" x14ac:dyDescent="0.45">
      <c r="A13" s="71"/>
      <c r="B13" s="300" t="s">
        <v>23</v>
      </c>
      <c r="C13" s="71"/>
      <c r="D13" s="304" t="s">
        <v>95</v>
      </c>
      <c r="E13" s="71"/>
      <c r="F13" s="72"/>
      <c r="G13" s="71" t="s">
        <v>29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s="3" customFormat="1" x14ac:dyDescent="0.3">
      <c r="A14" s="71"/>
      <c r="B14" s="255" t="s">
        <v>24</v>
      </c>
      <c r="C14" s="71"/>
      <c r="D14" s="190" t="s">
        <v>25</v>
      </c>
      <c r="E14" s="60"/>
      <c r="F14" s="251" t="s">
        <v>28</v>
      </c>
      <c r="G14" s="252" t="s">
        <v>231</v>
      </c>
      <c r="H14" s="250" t="s">
        <v>94</v>
      </c>
      <c r="I14" s="253" t="s">
        <v>26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s="3" customFormat="1" ht="15" thickBot="1" x14ac:dyDescent="0.35">
      <c r="A15" s="71"/>
      <c r="B15" s="256">
        <f>SUM(G11)</f>
        <v>0</v>
      </c>
      <c r="C15" s="71"/>
      <c r="D15" s="254">
        <f>SUM(Referensunderlag!R19)</f>
        <v>7</v>
      </c>
      <c r="E15" s="267"/>
      <c r="F15" s="268">
        <v>0</v>
      </c>
      <c r="G15" s="269">
        <v>55</v>
      </c>
      <c r="H15" s="270">
        <v>50</v>
      </c>
      <c r="I15" s="317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s="3" customFormat="1" ht="19.5" customHeight="1" thickBot="1" x14ac:dyDescent="0.35">
      <c r="A16" s="71"/>
      <c r="B16" s="27" t="s">
        <v>27</v>
      </c>
      <c r="C16" s="71"/>
      <c r="D16" s="28">
        <f>SUM(D15)*B15</f>
        <v>0</v>
      </c>
      <c r="E16" s="28"/>
      <c r="F16" s="277">
        <f>SUM(D18)*F15</f>
        <v>0</v>
      </c>
      <c r="G16" s="276">
        <f>SUM(D18/G15)</f>
        <v>0.2458181818181818</v>
      </c>
      <c r="H16" s="28">
        <f>SUM(D18)/H15</f>
        <v>0.27039999999999997</v>
      </c>
      <c r="I16" s="30">
        <f>SUM(D16)+E16+F16+H16</f>
        <v>0.27039999999999997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s="3" customFormat="1" ht="13.5" customHeight="1" thickBot="1" x14ac:dyDescent="0.35">
      <c r="A17" s="71"/>
      <c r="B17" s="71"/>
      <c r="C17" s="71"/>
      <c r="D17" s="10"/>
      <c r="E17" s="72"/>
      <c r="F17" s="310"/>
      <c r="G17" s="72"/>
      <c r="H17" s="72"/>
      <c r="I17" s="1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s="3" customFormat="1" ht="16.2" thickBot="1" x14ac:dyDescent="0.35">
      <c r="A18" s="71"/>
      <c r="B18" s="305" t="s">
        <v>30</v>
      </c>
      <c r="C18" s="71"/>
      <c r="D18" s="329">
        <f>SUM(Produktionsplan!F14)</f>
        <v>13.52</v>
      </c>
      <c r="E18" s="71"/>
      <c r="F18" s="311"/>
      <c r="G18" s="71"/>
      <c r="H18" s="312" t="s">
        <v>48</v>
      </c>
      <c r="I18" s="22">
        <f>SUM(I11)-I16</f>
        <v>-0.27039999999999997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s="16" customFormat="1" ht="15.6" x14ac:dyDescent="0.3">
      <c r="A19" s="89"/>
      <c r="B19" s="306"/>
      <c r="C19" s="89"/>
      <c r="D19" s="90"/>
      <c r="E19" s="89"/>
      <c r="F19" s="313"/>
      <c r="G19" s="89"/>
      <c r="H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spans="1:20" s="3" customFormat="1" ht="19.5" customHeight="1" thickBot="1" x14ac:dyDescent="0.35">
      <c r="A20" s="71"/>
      <c r="B20" s="305"/>
      <c r="C20" s="71"/>
      <c r="D20" s="91"/>
      <c r="E20" s="71"/>
      <c r="F20" s="258"/>
      <c r="G20" s="71"/>
      <c r="H20" s="71"/>
      <c r="I20" s="315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s="3" customFormat="1" ht="15" thickBot="1" x14ac:dyDescent="0.35">
      <c r="A21" s="71"/>
      <c r="B21" s="307" t="s">
        <v>34</v>
      </c>
      <c r="C21" s="71"/>
      <c r="D21" s="330">
        <f>SUM('Stöd Boverket'!K13)</f>
        <v>0</v>
      </c>
      <c r="E21" s="71"/>
      <c r="F21" s="258"/>
      <c r="G21" s="71"/>
      <c r="H21" s="71"/>
      <c r="I21" s="315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s="17" customFormat="1" ht="27.75" customHeight="1" x14ac:dyDescent="0.35">
      <c r="A22" s="75"/>
      <c r="B22" s="308" t="s">
        <v>31</v>
      </c>
      <c r="C22" s="75"/>
      <c r="D22" s="18"/>
      <c r="E22" s="75"/>
      <c r="F22" s="314"/>
      <c r="G22" s="71"/>
      <c r="H22" s="71"/>
      <c r="I22" s="319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s="3" customFormat="1" ht="15" thickBot="1" x14ac:dyDescent="0.35">
      <c r="A23" s="71"/>
      <c r="B23" s="309"/>
      <c r="C23" s="71"/>
      <c r="D23" s="19" t="s">
        <v>2</v>
      </c>
      <c r="E23" s="71"/>
      <c r="F23" s="315"/>
      <c r="G23" s="71"/>
      <c r="H23" s="71"/>
      <c r="I23" s="14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3" customFormat="1" ht="15" thickBot="1" x14ac:dyDescent="0.35">
      <c r="A24" s="71"/>
      <c r="B24" s="24" t="s">
        <v>36</v>
      </c>
      <c r="C24" s="71"/>
      <c r="D24" s="329">
        <f>SUM(Produktionsplan!F8)</f>
        <v>13.52</v>
      </c>
      <c r="E24" s="72"/>
      <c r="F24" s="258"/>
      <c r="G24" s="165" t="s">
        <v>107</v>
      </c>
      <c r="H24" s="166"/>
      <c r="I24" s="167" t="e">
        <f>SUM(I18)/I11</f>
        <v>#DIV/0!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6" customHeight="1" thickBot="1" x14ac:dyDescent="0.35">
      <c r="C25" s="70"/>
      <c r="E25" s="70"/>
      <c r="F25" s="70"/>
      <c r="G25" s="168"/>
      <c r="H25" s="169"/>
      <c r="I25" s="170"/>
      <c r="J25" s="70"/>
    </row>
    <row r="26" spans="1:20" s="3" customFormat="1" ht="15" thickBot="1" x14ac:dyDescent="0.35">
      <c r="A26" s="71"/>
      <c r="B26" s="13" t="s">
        <v>35</v>
      </c>
      <c r="C26" s="71"/>
      <c r="D26" s="23">
        <f>SUM(D24)-D21</f>
        <v>13.52</v>
      </c>
      <c r="E26" s="71"/>
      <c r="F26" s="71"/>
      <c r="G26" s="171" t="s">
        <v>227</v>
      </c>
      <c r="H26" s="172"/>
      <c r="I26" s="173">
        <f>SUM(I18)/D18</f>
        <v>-0.02</v>
      </c>
      <c r="J26" s="302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4.1" customHeight="1" x14ac:dyDescent="0.3">
      <c r="B27" s="70"/>
      <c r="C27" s="70"/>
      <c r="D27" s="70"/>
      <c r="E27" s="70"/>
      <c r="F27" s="70"/>
      <c r="G27" s="80"/>
      <c r="H27" s="80"/>
      <c r="I27" s="80"/>
      <c r="J27" s="80"/>
    </row>
    <row r="28" spans="1:20" ht="9.75" customHeight="1" x14ac:dyDescent="0.3">
      <c r="B28" s="70"/>
      <c r="C28" s="70"/>
      <c r="D28" s="102"/>
      <c r="E28" s="102"/>
      <c r="F28" s="102"/>
      <c r="G28" s="70"/>
      <c r="H28" s="70"/>
      <c r="I28" s="70"/>
      <c r="J28" s="70"/>
    </row>
    <row r="29" spans="1:20" ht="28.35" customHeight="1" x14ac:dyDescent="0.3">
      <c r="B29" s="70"/>
      <c r="C29" s="70"/>
      <c r="D29" s="70"/>
      <c r="E29" s="70"/>
      <c r="F29" s="70"/>
      <c r="G29" s="70"/>
      <c r="H29" s="70"/>
      <c r="I29" s="70"/>
      <c r="J29" s="70"/>
    </row>
    <row r="30" spans="1:20" s="151" customFormat="1" ht="15.75" customHeight="1" x14ac:dyDescent="0.3"/>
    <row r="31" spans="1:20" s="113" customFormat="1" ht="39.450000000000003" customHeight="1" x14ac:dyDescent="0.65"/>
    <row r="32" spans="1:20" s="320" customFormat="1" ht="25.8" x14ac:dyDescent="0.5"/>
    <row r="33" s="70" customFormat="1" x14ac:dyDescent="0.3"/>
    <row r="34" s="70" customFormat="1" x14ac:dyDescent="0.3"/>
    <row r="35" s="70" customFormat="1" x14ac:dyDescent="0.3"/>
    <row r="36" s="70" customFormat="1" x14ac:dyDescent="0.3"/>
    <row r="37" s="70" customFormat="1" x14ac:dyDescent="0.3"/>
    <row r="38" s="70" customFormat="1" x14ac:dyDescent="0.3"/>
    <row r="39" s="70" customFormat="1" x14ac:dyDescent="0.3"/>
    <row r="40" s="70" customFormat="1" x14ac:dyDescent="0.3"/>
    <row r="41" s="70" customFormat="1" x14ac:dyDescent="0.3"/>
    <row r="42" s="70" customFormat="1" x14ac:dyDescent="0.3"/>
    <row r="43" s="70" customFormat="1" x14ac:dyDescent="0.3"/>
    <row r="44" s="70" customFormat="1" x14ac:dyDescent="0.3"/>
    <row r="45" s="70" customFormat="1" x14ac:dyDescent="0.3"/>
    <row r="46" s="70" customFormat="1" x14ac:dyDescent="0.3"/>
    <row r="47" s="70" customFormat="1" x14ac:dyDescent="0.3"/>
    <row r="48" s="70" customFormat="1" x14ac:dyDescent="0.3"/>
    <row r="49" s="70" customFormat="1" x14ac:dyDescent="0.3"/>
    <row r="50" s="70" customFormat="1" x14ac:dyDescent="0.3"/>
    <row r="51" s="70" customFormat="1" x14ac:dyDescent="0.3"/>
    <row r="52" s="70" customFormat="1" ht="116.4" customHeight="1" x14ac:dyDescent="0.3"/>
    <row r="53" s="70" customFormat="1" x14ac:dyDescent="0.3"/>
    <row r="54" s="70" customFormat="1" x14ac:dyDescent="0.3"/>
    <row r="55" s="70" customFormat="1" x14ac:dyDescent="0.3"/>
    <row r="56" s="70" customFormat="1" x14ac:dyDescent="0.3"/>
    <row r="57" s="70" customFormat="1" x14ac:dyDescent="0.3"/>
    <row r="58" s="70" customFormat="1" x14ac:dyDescent="0.3"/>
    <row r="59" s="70" customFormat="1" x14ac:dyDescent="0.3"/>
    <row r="60" s="70" customFormat="1" x14ac:dyDescent="0.3"/>
    <row r="61" s="70" customFormat="1" x14ac:dyDescent="0.3"/>
    <row r="62" s="70" customFormat="1" x14ac:dyDescent="0.3"/>
    <row r="63" s="70" customFormat="1" x14ac:dyDescent="0.3"/>
    <row r="64" s="70" customFormat="1" x14ac:dyDescent="0.3"/>
    <row r="65" s="70" customFormat="1" x14ac:dyDescent="0.3"/>
    <row r="66" s="70" customFormat="1" x14ac:dyDescent="0.3"/>
    <row r="67" s="70" customFormat="1" x14ac:dyDescent="0.3"/>
    <row r="68" s="70" customFormat="1" x14ac:dyDescent="0.3"/>
    <row r="69" s="70" customFormat="1" x14ac:dyDescent="0.3"/>
    <row r="70" s="70" customFormat="1" x14ac:dyDescent="0.3"/>
    <row r="71" s="70" customFormat="1" x14ac:dyDescent="0.3"/>
    <row r="72" s="70" customFormat="1" x14ac:dyDescent="0.3"/>
    <row r="73" s="70" customFormat="1" x14ac:dyDescent="0.3"/>
    <row r="74" s="70" customFormat="1" x14ac:dyDescent="0.3"/>
    <row r="75" s="70" customFormat="1" x14ac:dyDescent="0.3"/>
    <row r="76" s="70" customFormat="1" x14ac:dyDescent="0.3"/>
    <row r="77" s="70" customFormat="1" x14ac:dyDescent="0.3"/>
    <row r="78" s="70" customFormat="1" x14ac:dyDescent="0.3"/>
    <row r="79" s="70" customFormat="1" x14ac:dyDescent="0.3"/>
    <row r="80" s="70" customFormat="1" x14ac:dyDescent="0.3"/>
    <row r="81" s="70" customFormat="1" x14ac:dyDescent="0.3"/>
    <row r="82" s="70" customFormat="1" x14ac:dyDescent="0.3"/>
    <row r="83" s="70" customFormat="1" x14ac:dyDescent="0.3"/>
    <row r="84" s="70" customFormat="1" x14ac:dyDescent="0.3"/>
    <row r="85" s="70" customFormat="1" x14ac:dyDescent="0.3"/>
    <row r="86" s="70" customFormat="1" x14ac:dyDescent="0.3"/>
    <row r="87" s="70" customFormat="1" x14ac:dyDescent="0.3"/>
    <row r="88" s="70" customFormat="1" x14ac:dyDescent="0.3"/>
    <row r="89" s="70" customFormat="1" x14ac:dyDescent="0.3"/>
    <row r="90" s="70" customFormat="1" x14ac:dyDescent="0.3"/>
    <row r="91" s="70" customFormat="1" x14ac:dyDescent="0.3"/>
    <row r="92" s="70" customFormat="1" x14ac:dyDescent="0.3"/>
    <row r="93" s="70" customFormat="1" x14ac:dyDescent="0.3"/>
    <row r="94" s="70" customFormat="1" x14ac:dyDescent="0.3"/>
    <row r="95" s="70" customFormat="1" x14ac:dyDescent="0.3"/>
    <row r="96" s="70" customFormat="1" x14ac:dyDescent="0.3"/>
    <row r="97" s="70" customFormat="1" x14ac:dyDescent="0.3"/>
    <row r="98" s="70" customFormat="1" x14ac:dyDescent="0.3"/>
    <row r="99" s="70" customFormat="1" x14ac:dyDescent="0.3"/>
    <row r="100" s="70" customFormat="1" x14ac:dyDescent="0.3"/>
    <row r="101" s="70" customFormat="1" x14ac:dyDescent="0.3"/>
    <row r="102" s="70" customFormat="1" x14ac:dyDescent="0.3"/>
    <row r="103" s="70" customFormat="1" x14ac:dyDescent="0.3"/>
    <row r="104" s="70" customFormat="1" x14ac:dyDescent="0.3"/>
    <row r="105" s="70" customFormat="1" x14ac:dyDescent="0.3"/>
    <row r="106" s="70" customFormat="1" x14ac:dyDescent="0.3"/>
    <row r="107" s="70" customFormat="1" x14ac:dyDescent="0.3"/>
    <row r="108" s="70" customFormat="1" x14ac:dyDescent="0.3"/>
    <row r="109" s="70" customFormat="1" x14ac:dyDescent="0.3"/>
    <row r="110" s="70" customFormat="1" x14ac:dyDescent="0.3"/>
    <row r="111" s="70" customFormat="1" x14ac:dyDescent="0.3"/>
    <row r="112" s="70" customFormat="1" x14ac:dyDescent="0.3"/>
    <row r="113" s="70" customFormat="1" x14ac:dyDescent="0.3"/>
    <row r="114" s="70" customFormat="1" x14ac:dyDescent="0.3"/>
    <row r="115" s="70" customFormat="1" x14ac:dyDescent="0.3"/>
    <row r="116" s="70" customFormat="1" x14ac:dyDescent="0.3"/>
    <row r="117" s="70" customFormat="1" x14ac:dyDescent="0.3"/>
    <row r="118" s="70" customFormat="1" x14ac:dyDescent="0.3"/>
    <row r="119" s="70" customFormat="1" x14ac:dyDescent="0.3"/>
    <row r="120" s="70" customFormat="1" x14ac:dyDescent="0.3"/>
    <row r="121" s="70" customFormat="1" x14ac:dyDescent="0.3"/>
    <row r="122" s="70" customFormat="1" x14ac:dyDescent="0.3"/>
    <row r="123" s="70" customFormat="1" x14ac:dyDescent="0.3"/>
    <row r="124" s="70" customFormat="1" x14ac:dyDescent="0.3"/>
    <row r="125" s="70" customFormat="1" x14ac:dyDescent="0.3"/>
    <row r="126" s="70" customFormat="1" x14ac:dyDescent="0.3"/>
    <row r="127" s="70" customFormat="1" x14ac:dyDescent="0.3"/>
    <row r="128" s="70" customFormat="1" x14ac:dyDescent="0.3"/>
    <row r="129" s="70" customFormat="1" x14ac:dyDescent="0.3"/>
    <row r="130" s="70" customFormat="1" x14ac:dyDescent="0.3"/>
    <row r="131" s="70" customFormat="1" x14ac:dyDescent="0.3"/>
    <row r="132" s="70" customFormat="1" x14ac:dyDescent="0.3"/>
    <row r="133" s="70" customFormat="1" x14ac:dyDescent="0.3"/>
    <row r="134" s="70" customFormat="1" x14ac:dyDescent="0.3"/>
    <row r="135" s="70" customFormat="1" x14ac:dyDescent="0.3"/>
    <row r="136" s="70" customFormat="1" x14ac:dyDescent="0.3"/>
    <row r="137" s="70" customFormat="1" x14ac:dyDescent="0.3"/>
    <row r="138" s="70" customFormat="1" x14ac:dyDescent="0.3"/>
    <row r="139" s="70" customFormat="1" x14ac:dyDescent="0.3"/>
    <row r="140" s="70" customFormat="1" x14ac:dyDescent="0.3"/>
    <row r="141" s="70" customFormat="1" x14ac:dyDescent="0.3"/>
    <row r="142" s="70" customFormat="1" x14ac:dyDescent="0.3"/>
    <row r="143" s="70" customFormat="1" x14ac:dyDescent="0.3"/>
    <row r="144" s="70" customFormat="1" x14ac:dyDescent="0.3"/>
    <row r="145" s="70" customFormat="1" x14ac:dyDescent="0.3"/>
    <row r="146" s="70" customFormat="1" x14ac:dyDescent="0.3"/>
    <row r="147" s="70" customFormat="1" x14ac:dyDescent="0.3"/>
    <row r="148" s="70" customFormat="1" x14ac:dyDescent="0.3"/>
    <row r="149" s="70" customFormat="1" x14ac:dyDescent="0.3"/>
    <row r="150" s="70" customFormat="1" x14ac:dyDescent="0.3"/>
    <row r="151" s="70" customFormat="1" x14ac:dyDescent="0.3"/>
    <row r="152" s="70" customFormat="1" x14ac:dyDescent="0.3"/>
    <row r="153" s="70" customFormat="1" x14ac:dyDescent="0.3"/>
    <row r="154" s="70" customFormat="1" x14ac:dyDescent="0.3"/>
    <row r="155" s="70" customFormat="1" x14ac:dyDescent="0.3"/>
    <row r="156" s="70" customFormat="1" x14ac:dyDescent="0.3"/>
    <row r="157" s="70" customFormat="1" x14ac:dyDescent="0.3"/>
    <row r="158" s="70" customFormat="1" x14ac:dyDescent="0.3"/>
    <row r="159" s="70" customFormat="1" x14ac:dyDescent="0.3"/>
    <row r="160" s="70" customFormat="1" x14ac:dyDescent="0.3"/>
    <row r="161" s="70" customFormat="1" x14ac:dyDescent="0.3"/>
    <row r="162" s="70" customFormat="1" x14ac:dyDescent="0.3"/>
    <row r="163" s="70" customFormat="1" x14ac:dyDescent="0.3"/>
    <row r="164" s="70" customFormat="1" x14ac:dyDescent="0.3"/>
    <row r="165" s="70" customFormat="1" x14ac:dyDescent="0.3"/>
    <row r="166" s="70" customFormat="1" x14ac:dyDescent="0.3"/>
    <row r="167" s="70" customFormat="1" x14ac:dyDescent="0.3"/>
    <row r="168" s="70" customFormat="1" x14ac:dyDescent="0.3"/>
    <row r="169" s="70" customFormat="1" x14ac:dyDescent="0.3"/>
    <row r="170" s="70" customFormat="1" x14ac:dyDescent="0.3"/>
    <row r="171" s="70" customFormat="1" x14ac:dyDescent="0.3"/>
    <row r="172" s="70" customFormat="1" x14ac:dyDescent="0.3"/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F9DD-AD8A-4C40-9F25-21567E5C9F77}">
  <dimension ref="A2:K22"/>
  <sheetViews>
    <sheetView workbookViewId="0">
      <selection activeCell="M19" sqref="M19"/>
    </sheetView>
  </sheetViews>
  <sheetFormatPr defaultRowHeight="14.4" x14ac:dyDescent="0.3"/>
  <cols>
    <col min="1" max="1" width="2.44140625" style="70" customWidth="1"/>
    <col min="2" max="2" width="16.21875" style="70" customWidth="1"/>
    <col min="3" max="3" width="8.88671875" style="70"/>
    <col min="4" max="4" width="13.33203125" style="70" customWidth="1"/>
    <col min="5" max="5" width="12.77734375" style="70" customWidth="1"/>
    <col min="6" max="6" width="13.109375" style="70" customWidth="1"/>
    <col min="7" max="8" width="12.77734375" style="70" customWidth="1"/>
    <col min="9" max="9" width="14.109375" style="70" customWidth="1"/>
    <col min="10" max="10" width="14.77734375" style="70" customWidth="1"/>
    <col min="11" max="16384" width="8.88671875" style="70"/>
  </cols>
  <sheetData>
    <row r="2" spans="1:11" ht="33.6" x14ac:dyDescent="0.65">
      <c r="A2" s="113"/>
      <c r="B2" s="114" t="s">
        <v>245</v>
      </c>
      <c r="C2" s="114"/>
      <c r="D2" s="114"/>
      <c r="E2" s="114"/>
      <c r="F2" s="114"/>
      <c r="G2" s="114"/>
      <c r="H2" s="114"/>
      <c r="I2" s="114"/>
      <c r="J2" s="114"/>
      <c r="K2" s="113"/>
    </row>
    <row r="3" spans="1:11" ht="25.8" x14ac:dyDescent="0.5">
      <c r="A3" s="320"/>
      <c r="B3" s="321" t="s">
        <v>246</v>
      </c>
      <c r="C3" s="320"/>
      <c r="D3" s="320"/>
      <c r="E3" s="320"/>
      <c r="F3" s="320"/>
      <c r="G3" s="320"/>
      <c r="H3" s="320"/>
      <c r="I3" s="320"/>
      <c r="J3" s="320"/>
      <c r="K3" s="320"/>
    </row>
    <row r="4" spans="1:11" x14ac:dyDescent="0.3">
      <c r="B4" s="86" t="s">
        <v>89</v>
      </c>
      <c r="C4" s="87"/>
      <c r="D4" s="95">
        <v>2022</v>
      </c>
      <c r="E4" s="95">
        <v>2023</v>
      </c>
      <c r="F4" s="95">
        <v>2024</v>
      </c>
      <c r="G4" s="95">
        <v>2025</v>
      </c>
      <c r="H4" s="95">
        <v>2026</v>
      </c>
      <c r="I4" s="95">
        <v>2027</v>
      </c>
      <c r="J4" s="95">
        <v>2028</v>
      </c>
    </row>
    <row r="5" spans="1:11" x14ac:dyDescent="0.3">
      <c r="B5"/>
      <c r="C5"/>
      <c r="D5"/>
      <c r="E5" s="12"/>
      <c r="F5" s="12"/>
      <c r="G5" s="12"/>
      <c r="H5" s="12"/>
      <c r="I5" s="12"/>
      <c r="J5" s="12"/>
    </row>
    <row r="6" spans="1:11" x14ac:dyDescent="0.3">
      <c r="B6" t="s">
        <v>22</v>
      </c>
      <c r="C6"/>
      <c r="D6" s="12">
        <f>SUM('Sammanfattande resultat'!I11)</f>
        <v>0</v>
      </c>
      <c r="E6" s="12">
        <f t="shared" ref="E6:J6" si="0">SUM(D6)*1.0175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</row>
    <row r="7" spans="1:11" x14ac:dyDescent="0.3">
      <c r="B7"/>
      <c r="C7"/>
      <c r="D7"/>
      <c r="E7"/>
      <c r="F7"/>
      <c r="G7"/>
      <c r="H7"/>
      <c r="I7"/>
      <c r="J7"/>
    </row>
    <row r="8" spans="1:11" ht="15" thickBot="1" x14ac:dyDescent="0.35">
      <c r="B8" t="s">
        <v>45</v>
      </c>
      <c r="C8"/>
      <c r="D8" s="12">
        <f>SUM(-'Sammanfattande resultat'!D16)</f>
        <v>0</v>
      </c>
      <c r="E8" s="12">
        <f t="shared" ref="E8:J8" si="1">SUM(D8)*1.0175</f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</row>
    <row r="9" spans="1:11" ht="15" thickBot="1" x14ac:dyDescent="0.35">
      <c r="B9" t="s">
        <v>228</v>
      </c>
      <c r="C9" s="603">
        <f>SUM('Sammanfattande resultat'!F15)</f>
        <v>0</v>
      </c>
      <c r="D9" s="12">
        <f>SUM(-D22)*C9</f>
        <v>0</v>
      </c>
      <c r="E9" s="12">
        <f>SUM(-E22)*C9</f>
        <v>0</v>
      </c>
      <c r="F9" s="12">
        <f>SUM(-F22)*C9</f>
        <v>0</v>
      </c>
      <c r="G9" s="198">
        <f>SUM(-G22)*C9*1</f>
        <v>0</v>
      </c>
      <c r="H9" s="68">
        <f>SUM(-H22)*C9*1.5</f>
        <v>0</v>
      </c>
      <c r="I9" s="68">
        <f>SUM(-I22)*C9*1.5</f>
        <v>0</v>
      </c>
      <c r="J9" s="68">
        <f>SUM(-J22)*C9*1.5</f>
        <v>0</v>
      </c>
    </row>
    <row r="10" spans="1:11" x14ac:dyDescent="0.3">
      <c r="B10" t="s">
        <v>47</v>
      </c>
      <c r="C10"/>
      <c r="D10" s="12">
        <f>SUM(-'Sammanfattande resultat'!H16)</f>
        <v>-0.27039999999999997</v>
      </c>
      <c r="E10" s="12">
        <f t="shared" ref="E10:J10" si="2">SUM(D10)</f>
        <v>-0.27039999999999997</v>
      </c>
      <c r="F10" s="12">
        <f t="shared" si="2"/>
        <v>-0.27039999999999997</v>
      </c>
      <c r="G10" s="12">
        <f t="shared" si="2"/>
        <v>-0.27039999999999997</v>
      </c>
      <c r="H10" s="12">
        <f t="shared" si="2"/>
        <v>-0.27039999999999997</v>
      </c>
      <c r="I10" s="12">
        <f t="shared" si="2"/>
        <v>-0.27039999999999997</v>
      </c>
      <c r="J10" s="12">
        <f t="shared" si="2"/>
        <v>-0.27039999999999997</v>
      </c>
    </row>
    <row r="11" spans="1:11" x14ac:dyDescent="0.3">
      <c r="B11" t="s">
        <v>220</v>
      </c>
      <c r="C11"/>
      <c r="D11" s="12">
        <v>-66000</v>
      </c>
      <c r="E11" s="12">
        <f t="shared" ref="E11:J11" si="3">SUM(D11)*1.0175</f>
        <v>-67155</v>
      </c>
      <c r="F11" s="12">
        <f t="shared" si="3"/>
        <v>-68330.212500000009</v>
      </c>
      <c r="G11" s="12">
        <f t="shared" si="3"/>
        <v>-69525.991218750016</v>
      </c>
      <c r="H11" s="12">
        <f t="shared" si="3"/>
        <v>-70742.69606507814</v>
      </c>
      <c r="I11" s="12">
        <f t="shared" si="3"/>
        <v>-71980.693246217008</v>
      </c>
      <c r="J11" s="12">
        <f t="shared" si="3"/>
        <v>-73240.355378025808</v>
      </c>
    </row>
    <row r="12" spans="1:11" x14ac:dyDescent="0.3">
      <c r="B12" s="322" t="s">
        <v>48</v>
      </c>
      <c r="C12" s="92"/>
      <c r="D12" s="323">
        <f t="shared" ref="D12:J12" si="4">SUM(D5:D11)</f>
        <v>-66000.270399999994</v>
      </c>
      <c r="E12" s="323">
        <f t="shared" si="4"/>
        <v>-67155.270399999994</v>
      </c>
      <c r="F12" s="323">
        <f t="shared" si="4"/>
        <v>-68330.482900000003</v>
      </c>
      <c r="G12" s="323">
        <f t="shared" si="4"/>
        <v>-69526.26161875001</v>
      </c>
      <c r="H12" s="323">
        <f t="shared" si="4"/>
        <v>-70742.966465078134</v>
      </c>
      <c r="I12" s="323">
        <f t="shared" si="4"/>
        <v>-71980.963646217002</v>
      </c>
      <c r="J12" s="324">
        <f t="shared" si="4"/>
        <v>-73240.625778025802</v>
      </c>
    </row>
    <row r="14" spans="1:11" x14ac:dyDescent="0.3">
      <c r="B14" s="86" t="s">
        <v>49</v>
      </c>
      <c r="C14" s="87"/>
      <c r="D14" s="95">
        <v>2022</v>
      </c>
      <c r="E14" s="95">
        <v>2023</v>
      </c>
      <c r="F14" s="95">
        <v>2024</v>
      </c>
      <c r="G14" s="95">
        <v>2025</v>
      </c>
      <c r="H14" s="95">
        <v>2026</v>
      </c>
      <c r="I14" s="95">
        <v>2027</v>
      </c>
      <c r="J14" s="95">
        <v>2028</v>
      </c>
    </row>
    <row r="15" spans="1:11" x14ac:dyDescent="0.3">
      <c r="B15" s="3" t="s">
        <v>51</v>
      </c>
      <c r="C15"/>
      <c r="D15">
        <v>0</v>
      </c>
      <c r="E15" s="12">
        <f t="shared" ref="E15:J15" si="5">SUM(D19)</f>
        <v>-66000.245818181822</v>
      </c>
      <c r="F15" s="12">
        <f t="shared" si="5"/>
        <v>-133155.49163636361</v>
      </c>
      <c r="G15" s="12">
        <f t="shared" si="5"/>
        <v>-201485.94995454542</v>
      </c>
      <c r="H15" s="12">
        <f t="shared" si="5"/>
        <v>-271012.18699147727</v>
      </c>
      <c r="I15" s="12">
        <f t="shared" si="5"/>
        <v>-341755.12887473725</v>
      </c>
      <c r="J15" s="12">
        <f t="shared" si="5"/>
        <v>-413736.06793913612</v>
      </c>
    </row>
    <row r="16" spans="1:11" x14ac:dyDescent="0.3">
      <c r="B16" t="s">
        <v>48</v>
      </c>
      <c r="C16"/>
      <c r="D16" s="12">
        <f t="shared" ref="D16:J16" si="6">SUM(D12)</f>
        <v>-66000.270399999994</v>
      </c>
      <c r="E16" s="12">
        <f t="shared" si="6"/>
        <v>-67155.270399999994</v>
      </c>
      <c r="F16" s="12">
        <f t="shared" si="6"/>
        <v>-68330.482900000003</v>
      </c>
      <c r="G16" s="12">
        <f t="shared" si="6"/>
        <v>-69526.26161875001</v>
      </c>
      <c r="H16" s="12">
        <f t="shared" si="6"/>
        <v>-70742.966465078134</v>
      </c>
      <c r="I16" s="12">
        <f t="shared" si="6"/>
        <v>-71980.963646217002</v>
      </c>
      <c r="J16" s="12">
        <f t="shared" si="6"/>
        <v>-73240.625778025802</v>
      </c>
    </row>
    <row r="17" spans="2:10" x14ac:dyDescent="0.3">
      <c r="B17" t="s">
        <v>52</v>
      </c>
      <c r="C17"/>
      <c r="D17" s="12">
        <f>SUM(-D10)</f>
        <v>0.27039999999999997</v>
      </c>
      <c r="E17" s="12">
        <f t="shared" ref="E17:J18" si="7">SUM(D17)</f>
        <v>0.27039999999999997</v>
      </c>
      <c r="F17" s="12">
        <f t="shared" si="7"/>
        <v>0.27039999999999997</v>
      </c>
      <c r="G17" s="12">
        <f t="shared" si="7"/>
        <v>0.27039999999999997</v>
      </c>
      <c r="H17" s="12">
        <f t="shared" si="7"/>
        <v>0.27039999999999997</v>
      </c>
      <c r="I17" s="12">
        <f t="shared" si="7"/>
        <v>0.27039999999999997</v>
      </c>
      <c r="J17" s="12">
        <f t="shared" si="7"/>
        <v>0.27039999999999997</v>
      </c>
    </row>
    <row r="18" spans="2:10" x14ac:dyDescent="0.3">
      <c r="B18" t="s">
        <v>46</v>
      </c>
      <c r="C18"/>
      <c r="D18" s="12">
        <f>SUM(-'Sammanfattande resultat'!G16)</f>
        <v>-0.2458181818181818</v>
      </c>
      <c r="E18" s="12">
        <f t="shared" si="7"/>
        <v>-0.2458181818181818</v>
      </c>
      <c r="F18" s="12">
        <f t="shared" si="7"/>
        <v>-0.2458181818181818</v>
      </c>
      <c r="G18" s="12">
        <f t="shared" si="7"/>
        <v>-0.2458181818181818</v>
      </c>
      <c r="H18" s="12">
        <f t="shared" si="7"/>
        <v>-0.2458181818181818</v>
      </c>
      <c r="I18" s="12">
        <f t="shared" si="7"/>
        <v>-0.2458181818181818</v>
      </c>
      <c r="J18" s="12">
        <f t="shared" si="7"/>
        <v>-0.2458181818181818</v>
      </c>
    </row>
    <row r="19" spans="2:10" x14ac:dyDescent="0.3">
      <c r="B19" s="322" t="s">
        <v>50</v>
      </c>
      <c r="C19" s="92"/>
      <c r="D19" s="323">
        <f t="shared" ref="D19:J19" si="8">SUM(D15:D18)</f>
        <v>-66000.245818181822</v>
      </c>
      <c r="E19" s="323">
        <f t="shared" si="8"/>
        <v>-133155.49163636361</v>
      </c>
      <c r="F19" s="323">
        <f t="shared" si="8"/>
        <v>-201485.94995454542</v>
      </c>
      <c r="G19" s="323">
        <f t="shared" si="8"/>
        <v>-271012.18699147727</v>
      </c>
      <c r="H19" s="323">
        <f t="shared" si="8"/>
        <v>-341755.12887473725</v>
      </c>
      <c r="I19" s="323">
        <f t="shared" si="8"/>
        <v>-413736.06793913612</v>
      </c>
      <c r="J19" s="324">
        <f t="shared" si="8"/>
        <v>-486976.66913534375</v>
      </c>
    </row>
    <row r="20" spans="2:10" x14ac:dyDescent="0.3">
      <c r="B20" s="71"/>
      <c r="C20" s="71"/>
      <c r="D20" s="98"/>
      <c r="E20" s="98"/>
      <c r="F20" s="98"/>
      <c r="G20" s="98"/>
      <c r="H20" s="98"/>
      <c r="I20" s="98"/>
      <c r="J20" s="98"/>
    </row>
    <row r="21" spans="2:10" x14ac:dyDescent="0.3">
      <c r="B21" s="71"/>
      <c r="C21" s="71"/>
      <c r="D21" s="325"/>
      <c r="E21" s="325"/>
      <c r="F21" s="325"/>
      <c r="G21" s="326"/>
      <c r="H21" s="326"/>
      <c r="I21" s="326"/>
      <c r="J21" s="326"/>
    </row>
    <row r="22" spans="2:10" x14ac:dyDescent="0.3">
      <c r="B22" s="96" t="s">
        <v>30</v>
      </c>
      <c r="C22" s="92"/>
      <c r="D22" s="93">
        <f>SUM('Sammanfattande resultat'!D18)</f>
        <v>13.52</v>
      </c>
      <c r="E22" s="93">
        <f>SUM(D22)-'Sammanfattande resultat'!G16</f>
        <v>13.274181818181818</v>
      </c>
      <c r="F22" s="93">
        <f>SUM(E22)-'Sammanfattande resultat'!G16</f>
        <v>13.028363636363636</v>
      </c>
      <c r="G22" s="93">
        <f>SUM(F22)-'Sammanfattande resultat'!G16</f>
        <v>12.782545454545454</v>
      </c>
      <c r="H22" s="93">
        <f>SUM(G22)-'Sammanfattande resultat'!G16</f>
        <v>12.536727272727273</v>
      </c>
      <c r="I22" s="93">
        <f>SUM(H22)-'Sammanfattande resultat'!G16</f>
        <v>12.290909090909091</v>
      </c>
      <c r="J22" s="94">
        <f>SUM(I22)-'Sammanfattande resultat'!G16</f>
        <v>12.045090909090909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A0F4-3D02-4A10-A821-F71580590D96}">
  <dimension ref="A1:AG113"/>
  <sheetViews>
    <sheetView tabSelected="1" zoomScaleNormal="100" workbookViewId="0">
      <selection activeCell="I16" sqref="I16"/>
    </sheetView>
  </sheetViews>
  <sheetFormatPr defaultRowHeight="14.4" x14ac:dyDescent="0.3"/>
  <cols>
    <col min="1" max="1" width="4" customWidth="1"/>
    <col min="2" max="2" width="35.5546875" style="39" customWidth="1"/>
    <col min="3" max="3" width="6.109375" style="39" customWidth="1"/>
    <col min="4" max="4" width="17.5546875" style="39" hidden="1" customWidth="1"/>
    <col min="5" max="5" width="7.5546875" hidden="1" customWidth="1"/>
    <col min="6" max="6" width="17.109375" customWidth="1"/>
    <col min="7" max="7" width="3.88671875" style="70" customWidth="1"/>
    <col min="8" max="8" width="13.44140625" customWidth="1"/>
    <col min="9" max="9" width="25.21875" customWidth="1"/>
    <col min="10" max="10" width="15.44140625" customWidth="1"/>
    <col min="11" max="11" width="11.88671875" style="70" customWidth="1"/>
    <col min="12" max="12" width="16.5546875" style="70" customWidth="1"/>
    <col min="13" max="13" width="12.5546875" style="70" customWidth="1"/>
    <col min="14" max="14" width="4.109375" style="70" customWidth="1"/>
    <col min="15" max="15" width="4.88671875" style="70" customWidth="1"/>
    <col min="16" max="16" width="4.5546875" style="70" customWidth="1"/>
    <col min="17" max="17" width="8.109375" style="70" customWidth="1"/>
    <col min="18" max="18" width="15.88671875" style="70" customWidth="1"/>
    <col min="19" max="19" width="5.44140625" style="70" customWidth="1"/>
    <col min="20" max="20" width="7.5546875" customWidth="1"/>
    <col min="21" max="21" width="11.44140625" customWidth="1"/>
    <col min="22" max="22" width="1.5546875" hidden="1" customWidth="1"/>
    <col min="23" max="23" width="12.109375" hidden="1" customWidth="1"/>
    <col min="24" max="24" width="12.109375" customWidth="1"/>
    <col min="25" max="25" width="14.44140625" hidden="1" customWidth="1"/>
    <col min="27" max="27" width="13.109375" customWidth="1"/>
    <col min="28" max="29" width="12.5546875" customWidth="1"/>
    <col min="30" max="30" width="1.88671875" customWidth="1"/>
    <col min="31" max="31" width="13.109375" customWidth="1"/>
    <col min="32" max="32" width="13.88671875" customWidth="1"/>
    <col min="33" max="33" width="14.5546875" customWidth="1"/>
  </cols>
  <sheetData>
    <row r="1" spans="1:33" s="500" customFormat="1" ht="37.200000000000003" customHeight="1" thickBot="1" x14ac:dyDescent="0.35">
      <c r="A1" s="498"/>
      <c r="B1" s="667" t="s">
        <v>259</v>
      </c>
      <c r="C1" s="668"/>
      <c r="D1" s="668"/>
      <c r="E1" s="668"/>
      <c r="F1" s="668"/>
      <c r="G1" s="668"/>
      <c r="H1" s="668"/>
      <c r="I1" s="499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8"/>
      <c r="X1" s="498"/>
      <c r="Y1" s="498"/>
    </row>
    <row r="2" spans="1:33" ht="15" thickBot="1" x14ac:dyDescent="0.35">
      <c r="A2" s="70"/>
      <c r="B2" s="490">
        <f>SUM('Sammanfattande resultat'!B2)</f>
        <v>44197</v>
      </c>
      <c r="C2" s="78"/>
      <c r="D2" s="78"/>
      <c r="E2" s="70"/>
      <c r="F2" s="70"/>
      <c r="H2" s="70"/>
      <c r="I2" s="70"/>
      <c r="J2" s="70"/>
      <c r="T2" s="70"/>
      <c r="U2" s="70"/>
      <c r="V2" s="70"/>
      <c r="W2" s="70"/>
      <c r="X2" s="70"/>
      <c r="Y2" s="70"/>
    </row>
    <row r="3" spans="1:33" ht="15" thickBot="1" x14ac:dyDescent="0.35">
      <c r="A3" s="70"/>
      <c r="B3" s="489" t="s">
        <v>247</v>
      </c>
      <c r="C3" s="78"/>
      <c r="D3" s="78"/>
      <c r="E3" s="70"/>
      <c r="F3" s="70"/>
      <c r="H3" s="70"/>
      <c r="I3" s="70"/>
      <c r="J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</row>
    <row r="4" spans="1:33" ht="12" customHeight="1" x14ac:dyDescent="0.3">
      <c r="A4" s="70"/>
      <c r="B4" s="82"/>
      <c r="C4" s="82"/>
      <c r="D4" s="82"/>
      <c r="E4" s="70"/>
      <c r="F4" s="70"/>
      <c r="H4" s="70"/>
      <c r="I4" s="70"/>
      <c r="J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</row>
    <row r="5" spans="1:33" s="16" customFormat="1" ht="19.5" customHeight="1" x14ac:dyDescent="0.3">
      <c r="A5" s="89"/>
      <c r="B5" s="501" t="s">
        <v>257</v>
      </c>
      <c r="C5" s="502"/>
      <c r="D5" s="502"/>
      <c r="E5" s="502"/>
      <c r="F5" s="503" t="s">
        <v>80</v>
      </c>
      <c r="G5" s="503"/>
      <c r="H5" s="503"/>
      <c r="I5" s="503" t="s">
        <v>81</v>
      </c>
      <c r="J5" s="89"/>
      <c r="K5" s="89"/>
      <c r="L5" s="89"/>
      <c r="M5" s="89"/>
      <c r="N5" s="89"/>
      <c r="O5" s="89"/>
      <c r="P5" s="89"/>
      <c r="Q5" s="89"/>
      <c r="R5" s="582"/>
      <c r="S5" s="89"/>
      <c r="T5" s="89"/>
      <c r="U5" s="89"/>
      <c r="V5" s="89"/>
      <c r="W5" s="89"/>
      <c r="X5" s="89"/>
    </row>
    <row r="6" spans="1:33" s="3" customFormat="1" ht="13.5" customHeight="1" x14ac:dyDescent="0.3">
      <c r="A6" s="71"/>
      <c r="B6" s="88"/>
      <c r="C6" s="88"/>
      <c r="D6" s="88"/>
      <c r="E6" s="71"/>
      <c r="F6" s="72"/>
      <c r="G6" s="72"/>
      <c r="H6" s="72"/>
      <c r="I6" s="7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33" s="3" customFormat="1" ht="15" thickBot="1" x14ac:dyDescent="0.35">
      <c r="A7" s="71"/>
      <c r="B7" s="42"/>
      <c r="C7" s="100"/>
      <c r="D7" s="19" t="s">
        <v>2</v>
      </c>
      <c r="E7" s="71"/>
      <c r="F7" s="19" t="s">
        <v>2</v>
      </c>
      <c r="G7" s="70"/>
      <c r="H7" s="70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33" s="3" customFormat="1" ht="15" thickBot="1" x14ac:dyDescent="0.35">
      <c r="A8" s="71"/>
      <c r="B8" s="41" t="s">
        <v>36</v>
      </c>
      <c r="C8" s="84"/>
      <c r="D8" s="237">
        <f>SUM(D21+D56+D64)</f>
        <v>18349968.5</v>
      </c>
      <c r="E8" s="71"/>
      <c r="F8" s="37">
        <f>SUM(F21+F56+F64)</f>
        <v>13.52</v>
      </c>
      <c r="G8" s="138"/>
      <c r="H8" s="689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33" ht="6" customHeight="1" x14ac:dyDescent="0.3">
      <c r="A9" s="70"/>
      <c r="B9" s="78"/>
      <c r="C9" s="78"/>
      <c r="D9" s="70"/>
      <c r="E9" s="70"/>
      <c r="F9" s="70"/>
      <c r="H9" s="70"/>
      <c r="I9" s="70"/>
      <c r="J9" s="70"/>
      <c r="T9" s="70"/>
      <c r="U9" s="70"/>
      <c r="V9" s="70"/>
      <c r="W9" s="70"/>
      <c r="X9" s="70"/>
    </row>
    <row r="10" spans="1:33" ht="15" thickBot="1" x14ac:dyDescent="0.35">
      <c r="A10" s="70"/>
      <c r="B10" s="79" t="s">
        <v>66</v>
      </c>
      <c r="C10" s="79"/>
      <c r="D10" s="80"/>
      <c r="E10" s="70"/>
      <c r="F10" s="80"/>
      <c r="G10" s="80"/>
      <c r="H10" s="80"/>
      <c r="I10" s="70"/>
      <c r="J10" s="70"/>
      <c r="T10" s="70"/>
      <c r="U10" s="70"/>
      <c r="V10" s="70"/>
      <c r="W10" s="70"/>
      <c r="X10" s="70"/>
    </row>
    <row r="11" spans="1:33" ht="15" thickBot="1" x14ac:dyDescent="0.35">
      <c r="A11" s="70"/>
      <c r="B11" s="81" t="s">
        <v>42</v>
      </c>
      <c r="C11" s="81"/>
      <c r="D11" s="159">
        <f>SUM(F11)</f>
        <v>0</v>
      </c>
      <c r="E11" s="70"/>
      <c r="F11" s="122">
        <f>-SUM('Stöd Boverket'!K13)</f>
        <v>0</v>
      </c>
      <c r="G11" s="139"/>
      <c r="H11" s="139"/>
      <c r="I11" s="70"/>
      <c r="J11" s="70"/>
      <c r="T11" s="70"/>
      <c r="U11" s="70"/>
      <c r="V11" s="70"/>
      <c r="W11" s="70"/>
      <c r="X11" s="70"/>
    </row>
    <row r="12" spans="1:33" ht="15" customHeight="1" x14ac:dyDescent="0.3">
      <c r="A12" s="70"/>
      <c r="B12" s="118"/>
      <c r="C12" s="82"/>
      <c r="D12" s="83"/>
      <c r="E12" s="70"/>
      <c r="F12" s="83"/>
      <c r="G12" s="83"/>
      <c r="H12" s="83"/>
      <c r="I12" s="70"/>
      <c r="J12" s="70"/>
      <c r="T12" s="70"/>
      <c r="U12" s="70"/>
      <c r="V12" s="70"/>
      <c r="W12" s="70"/>
      <c r="X12" s="70"/>
    </row>
    <row r="13" spans="1:33" ht="15" thickBot="1" x14ac:dyDescent="0.35">
      <c r="A13" s="70"/>
      <c r="B13" s="82"/>
      <c r="C13" s="82"/>
      <c r="D13" s="83"/>
      <c r="E13" s="70"/>
      <c r="F13" s="83"/>
      <c r="G13" s="83"/>
      <c r="H13" s="83"/>
      <c r="I13" s="70"/>
      <c r="J13" s="70"/>
      <c r="T13" s="70"/>
      <c r="U13" s="70"/>
      <c r="V13" s="70"/>
      <c r="W13" s="70"/>
      <c r="X13" s="70"/>
    </row>
    <row r="14" spans="1:33" s="3" customFormat="1" ht="15" thickBot="1" x14ac:dyDescent="0.35">
      <c r="A14" s="71"/>
      <c r="B14" s="44" t="s">
        <v>35</v>
      </c>
      <c r="C14" s="84"/>
      <c r="D14" s="23">
        <f>SUM(D8:D11)</f>
        <v>18349968.5</v>
      </c>
      <c r="E14" s="71"/>
      <c r="F14" s="23">
        <f>SUM(F8:F11)</f>
        <v>13.52</v>
      </c>
      <c r="G14" s="140"/>
      <c r="H14" s="14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33" ht="15.6" customHeight="1" thickBot="1" x14ac:dyDescent="0.35">
      <c r="A15" s="70"/>
      <c r="B15" s="43"/>
      <c r="C15" s="78"/>
      <c r="D15" s="67" t="s">
        <v>98</v>
      </c>
      <c r="E15" s="70"/>
      <c r="F15" s="447" t="s">
        <v>98</v>
      </c>
      <c r="G15" s="73"/>
      <c r="H15" s="73"/>
      <c r="I15" s="70"/>
      <c r="J15" s="70"/>
      <c r="T15" s="70"/>
      <c r="U15" s="70"/>
      <c r="V15" s="70"/>
      <c r="W15" s="70"/>
      <c r="X15" s="70"/>
    </row>
    <row r="16" spans="1:33" x14ac:dyDescent="0.3">
      <c r="A16" s="70"/>
      <c r="B16" s="61" t="s">
        <v>236</v>
      </c>
      <c r="C16" s="78"/>
      <c r="D16" s="38" t="s">
        <v>2</v>
      </c>
      <c r="E16" s="70"/>
      <c r="F16" s="38" t="s">
        <v>2</v>
      </c>
      <c r="G16" s="141"/>
      <c r="H16" s="141"/>
      <c r="I16" s="70"/>
      <c r="J16" s="70"/>
      <c r="T16" s="70"/>
      <c r="U16" s="70"/>
      <c r="V16" s="70"/>
      <c r="W16" s="70"/>
      <c r="X16" s="70"/>
    </row>
    <row r="17" spans="1:24" x14ac:dyDescent="0.3">
      <c r="A17" s="70"/>
      <c r="B17" s="446" t="s">
        <v>3</v>
      </c>
      <c r="C17" s="78"/>
      <c r="D17" s="157">
        <v>399531</v>
      </c>
      <c r="E17" s="70"/>
      <c r="F17" s="465">
        <f>35000*'Sammanfattande resultat'!E11</f>
        <v>0</v>
      </c>
      <c r="G17" s="142"/>
      <c r="H17" s="142"/>
      <c r="I17" s="70"/>
      <c r="J17" s="70"/>
      <c r="T17" s="70"/>
      <c r="U17" s="70"/>
      <c r="V17" s="70"/>
      <c r="W17" s="70"/>
      <c r="X17" s="70"/>
    </row>
    <row r="18" spans="1:24" x14ac:dyDescent="0.3">
      <c r="A18" s="70"/>
      <c r="B18" s="446" t="s">
        <v>4</v>
      </c>
      <c r="C18" s="78"/>
      <c r="D18" s="158">
        <f>(85000+35000)*1.25</f>
        <v>150000</v>
      </c>
      <c r="E18" s="70"/>
      <c r="F18" s="465">
        <v>1</v>
      </c>
      <c r="G18" s="142"/>
      <c r="H18" s="142"/>
      <c r="I18" s="70"/>
      <c r="J18" s="70"/>
      <c r="T18" s="70"/>
      <c r="U18" s="70"/>
      <c r="V18" s="70"/>
      <c r="W18" s="70"/>
      <c r="X18" s="70"/>
    </row>
    <row r="19" spans="1:24" x14ac:dyDescent="0.3">
      <c r="A19" s="70"/>
      <c r="B19" s="446" t="s">
        <v>235</v>
      </c>
      <c r="C19" s="78"/>
      <c r="D19" s="158"/>
      <c r="E19" s="70"/>
      <c r="F19" s="465">
        <v>1</v>
      </c>
      <c r="G19" s="142"/>
      <c r="H19" s="142"/>
      <c r="I19" s="70"/>
      <c r="J19" s="70"/>
      <c r="T19" s="70"/>
      <c r="U19" s="70"/>
      <c r="V19" s="70"/>
      <c r="W19" s="70"/>
      <c r="X19" s="70"/>
    </row>
    <row r="20" spans="1:24" ht="14.25" customHeight="1" thickBot="1" x14ac:dyDescent="0.35">
      <c r="A20" s="70"/>
      <c r="B20" s="446" t="s">
        <v>5</v>
      </c>
      <c r="C20" s="78"/>
      <c r="D20" s="158"/>
      <c r="E20" s="70"/>
      <c r="F20" s="465">
        <v>1</v>
      </c>
      <c r="G20" s="142"/>
      <c r="H20" s="142"/>
      <c r="I20" s="70"/>
      <c r="J20" s="70"/>
      <c r="T20" s="70"/>
      <c r="U20" s="70"/>
      <c r="V20" s="70"/>
      <c r="W20" s="70"/>
      <c r="X20" s="70"/>
    </row>
    <row r="21" spans="1:24" s="129" customFormat="1" ht="15" thickBot="1" x14ac:dyDescent="0.35">
      <c r="A21" s="125"/>
      <c r="B21" s="126" t="s">
        <v>6</v>
      </c>
      <c r="C21" s="127"/>
      <c r="D21" s="128">
        <f>SUM(D17:D20)</f>
        <v>549531</v>
      </c>
      <c r="E21" s="125"/>
      <c r="F21" s="128">
        <f>SUM(F17:F20)</f>
        <v>3</v>
      </c>
      <c r="G21" s="143"/>
      <c r="H21" s="143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spans="1:24" ht="13.65" customHeight="1" thickBot="1" x14ac:dyDescent="0.35">
      <c r="A22" s="70"/>
      <c r="B22" s="43"/>
      <c r="C22" s="78"/>
      <c r="D22"/>
      <c r="E22" s="70"/>
      <c r="H22" s="70"/>
      <c r="I22" s="70"/>
      <c r="J22" s="70"/>
      <c r="T22" s="70"/>
      <c r="U22" s="70"/>
      <c r="V22" s="70"/>
      <c r="W22" s="70"/>
      <c r="X22" s="70"/>
    </row>
    <row r="23" spans="1:24" ht="13.65" customHeight="1" thickBot="1" x14ac:dyDescent="0.35">
      <c r="A23" s="70"/>
      <c r="B23" s="448" t="s">
        <v>102</v>
      </c>
      <c r="C23" s="78"/>
      <c r="D23" s="110">
        <v>111000</v>
      </c>
      <c r="E23" s="70"/>
      <c r="F23" s="466">
        <v>1</v>
      </c>
      <c r="H23" s="80"/>
      <c r="I23" s="70"/>
      <c r="J23" s="70"/>
      <c r="T23" s="70"/>
      <c r="U23" s="70"/>
      <c r="V23" s="70"/>
      <c r="W23" s="70"/>
      <c r="X23" s="70"/>
    </row>
    <row r="24" spans="1:24" x14ac:dyDescent="0.3">
      <c r="A24" s="70"/>
      <c r="B24" s="446" t="s">
        <v>43</v>
      </c>
      <c r="C24" s="78"/>
      <c r="D24" s="110"/>
      <c r="E24" s="70"/>
      <c r="F24" s="467">
        <v>1</v>
      </c>
      <c r="G24" s="144"/>
      <c r="H24" s="144"/>
      <c r="I24" s="70"/>
      <c r="J24" s="70"/>
      <c r="T24" s="70"/>
      <c r="U24" s="70"/>
      <c r="V24" s="70"/>
      <c r="W24" s="70"/>
      <c r="X24" s="70"/>
    </row>
    <row r="25" spans="1:24" ht="13.5" customHeight="1" x14ac:dyDescent="0.3">
      <c r="A25" s="70"/>
      <c r="B25" s="446" t="s">
        <v>101</v>
      </c>
      <c r="C25" s="78"/>
      <c r="D25" s="111">
        <v>766650</v>
      </c>
      <c r="E25" s="98"/>
      <c r="F25" s="467">
        <v>1</v>
      </c>
      <c r="G25" s="144"/>
      <c r="H25" s="144"/>
      <c r="J25" s="70"/>
      <c r="T25" s="70"/>
      <c r="U25" s="70"/>
      <c r="V25" s="70"/>
      <c r="W25" s="70"/>
      <c r="X25" s="70"/>
    </row>
    <row r="26" spans="1:24" ht="14.4" customHeight="1" x14ac:dyDescent="0.3">
      <c r="A26" s="70"/>
      <c r="B26" s="446" t="s">
        <v>82</v>
      </c>
      <c r="C26" s="78"/>
      <c r="D26" s="111"/>
      <c r="E26" s="70"/>
      <c r="F26" s="468">
        <v>0</v>
      </c>
      <c r="G26" s="145"/>
      <c r="H26" s="145"/>
      <c r="I26" s="70"/>
      <c r="J26" s="70"/>
      <c r="T26" s="70"/>
      <c r="U26" s="70"/>
      <c r="V26" s="70"/>
      <c r="W26" s="70"/>
      <c r="X26" s="70"/>
    </row>
    <row r="27" spans="1:24" ht="14.4" customHeight="1" x14ac:dyDescent="0.3">
      <c r="A27" s="70"/>
      <c r="B27" s="446" t="s">
        <v>83</v>
      </c>
      <c r="C27" s="78"/>
      <c r="D27" s="156"/>
      <c r="E27" s="70"/>
      <c r="F27" s="467">
        <v>1</v>
      </c>
      <c r="G27" s="144"/>
      <c r="H27" s="144"/>
      <c r="I27" s="70"/>
      <c r="J27" s="70"/>
      <c r="T27" s="70"/>
      <c r="U27" s="70"/>
      <c r="V27" s="70"/>
      <c r="W27" s="70"/>
      <c r="X27" s="70"/>
    </row>
    <row r="28" spans="1:24" ht="14.4" customHeight="1" x14ac:dyDescent="0.3">
      <c r="A28" s="70"/>
      <c r="B28" s="446" t="s">
        <v>84</v>
      </c>
      <c r="C28" s="78"/>
      <c r="D28" s="111"/>
      <c r="E28" s="70"/>
      <c r="F28" s="468">
        <v>0</v>
      </c>
      <c r="G28" s="145"/>
      <c r="H28" s="145"/>
      <c r="I28" s="70"/>
      <c r="J28" s="70"/>
      <c r="T28" s="70"/>
      <c r="U28" s="70"/>
      <c r="V28" s="70"/>
      <c r="W28" s="70"/>
      <c r="X28" s="70"/>
    </row>
    <row r="29" spans="1:24" ht="14.4" customHeight="1" x14ac:dyDescent="0.3">
      <c r="A29" s="70"/>
      <c r="B29" s="446" t="s">
        <v>233</v>
      </c>
      <c r="C29" s="78"/>
      <c r="D29" s="111"/>
      <c r="E29" s="70"/>
      <c r="F29" s="467">
        <v>1</v>
      </c>
      <c r="G29" s="144"/>
      <c r="H29" s="144"/>
      <c r="I29" s="70"/>
      <c r="J29" s="70"/>
      <c r="T29" s="70"/>
      <c r="U29" s="70"/>
      <c r="V29" s="70"/>
      <c r="W29" s="70"/>
      <c r="X29" s="70"/>
    </row>
    <row r="30" spans="1:24" ht="14.4" customHeight="1" x14ac:dyDescent="0.3">
      <c r="A30" s="70"/>
      <c r="B30" s="449" t="s">
        <v>105</v>
      </c>
      <c r="C30" s="78"/>
      <c r="D30" s="119">
        <v>420000</v>
      </c>
      <c r="E30" s="70"/>
      <c r="F30" s="467">
        <v>1</v>
      </c>
      <c r="G30" s="144"/>
      <c r="H30" s="144"/>
      <c r="I30" s="70"/>
      <c r="J30" s="70"/>
      <c r="T30" s="70"/>
      <c r="U30" s="70"/>
      <c r="V30" s="70"/>
      <c r="W30" s="70"/>
      <c r="X30" s="70"/>
    </row>
    <row r="31" spans="1:24" ht="14.4" customHeight="1" thickBot="1" x14ac:dyDescent="0.35">
      <c r="A31" s="70"/>
      <c r="B31" s="446" t="s">
        <v>103</v>
      </c>
      <c r="C31" s="78"/>
      <c r="D31" s="119">
        <v>108000</v>
      </c>
      <c r="E31" s="70"/>
      <c r="F31" s="469">
        <f>10000*'Sammanfattande resultat'!E11</f>
        <v>0</v>
      </c>
      <c r="G31" s="145"/>
      <c r="H31" s="144"/>
      <c r="I31" s="70"/>
      <c r="J31" s="70"/>
      <c r="T31" s="70"/>
      <c r="U31" s="70"/>
      <c r="V31" s="70"/>
      <c r="W31" s="70"/>
      <c r="X31" s="70"/>
    </row>
    <row r="32" spans="1:24" s="134" customFormat="1" ht="14.4" customHeight="1" thickBot="1" x14ac:dyDescent="0.35">
      <c r="A32" s="130"/>
      <c r="B32" s="126" t="s">
        <v>9</v>
      </c>
      <c r="C32" s="127"/>
      <c r="D32" s="131">
        <f>SUM(D23:D31)</f>
        <v>1405650</v>
      </c>
      <c r="E32" s="132"/>
      <c r="F32" s="452">
        <f>SUM(F23:F31)</f>
        <v>6</v>
      </c>
      <c r="G32" s="146"/>
      <c r="H32" s="146"/>
      <c r="I32" s="133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spans="1:24" ht="14.4" customHeight="1" thickBot="1" x14ac:dyDescent="0.35">
      <c r="A33" s="70"/>
      <c r="B33" s="43"/>
      <c r="C33" s="78"/>
      <c r="D33" s="48"/>
      <c r="E33" s="77"/>
      <c r="F33" s="453"/>
      <c r="G33" s="77"/>
      <c r="H33" s="666"/>
      <c r="I33" s="102"/>
      <c r="J33" s="70"/>
      <c r="T33" s="70"/>
      <c r="U33" s="70"/>
      <c r="V33" s="70"/>
      <c r="W33" s="70"/>
      <c r="X33" s="70"/>
    </row>
    <row r="34" spans="1:24" x14ac:dyDescent="0.3">
      <c r="A34" s="70"/>
      <c r="B34" s="450" t="s">
        <v>237</v>
      </c>
      <c r="C34" s="101"/>
      <c r="D34" s="49" t="s">
        <v>128</v>
      </c>
      <c r="E34" s="2"/>
      <c r="F34" s="454"/>
      <c r="G34" s="147"/>
      <c r="H34" s="147"/>
      <c r="I34" s="102"/>
      <c r="J34" s="70"/>
      <c r="T34" s="70"/>
      <c r="U34" s="70"/>
      <c r="V34" s="70"/>
      <c r="W34" s="70"/>
      <c r="X34" s="70"/>
    </row>
    <row r="35" spans="1:24" ht="14.4" hidden="1" customHeight="1" x14ac:dyDescent="0.3">
      <c r="A35" s="70"/>
      <c r="B35" s="446" t="s">
        <v>54</v>
      </c>
      <c r="C35" s="78"/>
      <c r="D35" s="50"/>
      <c r="E35" s="77"/>
      <c r="F35" s="455">
        <v>451000</v>
      </c>
      <c r="G35" s="148"/>
      <c r="H35" s="148"/>
      <c r="I35" s="102"/>
      <c r="J35" s="70"/>
      <c r="T35" s="70"/>
      <c r="U35" s="70"/>
      <c r="V35" s="70"/>
      <c r="W35" s="70"/>
      <c r="X35" s="70"/>
    </row>
    <row r="36" spans="1:24" hidden="1" x14ac:dyDescent="0.3">
      <c r="A36" s="70"/>
      <c r="B36" s="446" t="s">
        <v>55</v>
      </c>
      <c r="C36" s="78"/>
      <c r="D36" s="50"/>
      <c r="E36" s="77"/>
      <c r="F36" s="455">
        <f>1089000</f>
        <v>1089000</v>
      </c>
      <c r="G36" s="148"/>
      <c r="H36" s="148"/>
      <c r="I36" s="102"/>
      <c r="J36" s="70"/>
      <c r="T36" s="70"/>
      <c r="U36" s="70"/>
      <c r="V36" s="70"/>
      <c r="W36" s="70"/>
      <c r="X36" s="70"/>
    </row>
    <row r="37" spans="1:24" s="3" customFormat="1" hidden="1" x14ac:dyDescent="0.3">
      <c r="A37" s="71"/>
      <c r="B37" s="446" t="s">
        <v>56</v>
      </c>
      <c r="C37" s="78"/>
      <c r="D37" s="50"/>
      <c r="E37" s="77"/>
      <c r="F37" s="455">
        <f>179102</f>
        <v>179102</v>
      </c>
      <c r="G37" s="148"/>
      <c r="H37" s="148"/>
      <c r="I37" s="74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 ht="15.6" hidden="1" customHeight="1" x14ac:dyDescent="0.3">
      <c r="A38" s="70"/>
      <c r="B38" s="446" t="s">
        <v>57</v>
      </c>
      <c r="C38" s="78"/>
      <c r="D38" s="50"/>
      <c r="E38" s="77"/>
      <c r="F38" s="455">
        <f>364958</f>
        <v>364958</v>
      </c>
      <c r="G38" s="148"/>
      <c r="H38" s="148"/>
      <c r="I38" s="77"/>
      <c r="J38" s="70"/>
      <c r="T38" s="70"/>
      <c r="U38" s="70"/>
      <c r="V38" s="70"/>
      <c r="W38" s="70"/>
      <c r="X38" s="70"/>
    </row>
    <row r="39" spans="1:24" ht="12" hidden="1" customHeight="1" x14ac:dyDescent="0.3">
      <c r="A39" s="70"/>
      <c r="B39" s="446" t="s">
        <v>10</v>
      </c>
      <c r="C39" s="78"/>
      <c r="D39" s="50"/>
      <c r="E39" s="77"/>
      <c r="F39" s="455">
        <f>495000</f>
        <v>495000</v>
      </c>
      <c r="G39" s="148"/>
      <c r="H39" s="148"/>
      <c r="I39" s="74"/>
      <c r="J39" s="70"/>
      <c r="T39" s="70"/>
      <c r="U39" s="70"/>
      <c r="V39" s="70"/>
      <c r="W39" s="70"/>
      <c r="X39" s="70"/>
    </row>
    <row r="40" spans="1:24" hidden="1" x14ac:dyDescent="0.3">
      <c r="A40" s="70"/>
      <c r="B40" s="446" t="s">
        <v>58</v>
      </c>
      <c r="C40" s="78"/>
      <c r="D40" s="50"/>
      <c r="E40" s="77"/>
      <c r="F40" s="455">
        <v>1221000</v>
      </c>
      <c r="G40" s="148"/>
      <c r="H40" s="148"/>
      <c r="I40" s="103"/>
      <c r="J40" s="70"/>
      <c r="T40" s="70"/>
      <c r="U40" s="70"/>
      <c r="V40" s="70"/>
      <c r="W40" s="70"/>
      <c r="X40" s="70"/>
    </row>
    <row r="41" spans="1:24" hidden="1" x14ac:dyDescent="0.3">
      <c r="A41" s="70"/>
      <c r="B41" s="446" t="s">
        <v>64</v>
      </c>
      <c r="C41" s="78"/>
      <c r="D41" s="50"/>
      <c r="E41" s="77"/>
      <c r="F41" s="455">
        <v>572000</v>
      </c>
      <c r="G41" s="148"/>
      <c r="H41" s="148"/>
      <c r="I41" s="103"/>
      <c r="J41" s="70"/>
      <c r="T41" s="70"/>
      <c r="U41" s="70"/>
      <c r="V41" s="70"/>
      <c r="W41" s="70"/>
      <c r="X41" s="70"/>
    </row>
    <row r="42" spans="1:24" hidden="1" x14ac:dyDescent="0.3">
      <c r="A42" s="70"/>
      <c r="B42" s="446" t="s">
        <v>11</v>
      </c>
      <c r="C42" s="78"/>
      <c r="D42" s="50"/>
      <c r="E42" s="77"/>
      <c r="F42" s="455">
        <v>429000</v>
      </c>
      <c r="G42" s="148"/>
      <c r="H42" s="148"/>
      <c r="I42" s="103"/>
      <c r="J42" s="70"/>
      <c r="T42" s="70"/>
      <c r="U42" s="70"/>
      <c r="V42" s="70"/>
      <c r="W42" s="70"/>
      <c r="X42" s="70"/>
    </row>
    <row r="43" spans="1:24" hidden="1" x14ac:dyDescent="0.3">
      <c r="A43" s="70"/>
      <c r="B43" s="446" t="s">
        <v>59</v>
      </c>
      <c r="C43" s="78"/>
      <c r="D43" s="50"/>
      <c r="E43" s="77"/>
      <c r="F43" s="455">
        <v>379500</v>
      </c>
      <c r="G43" s="148"/>
      <c r="H43" s="148"/>
      <c r="I43" s="103"/>
      <c r="J43" s="411"/>
      <c r="K43" s="411"/>
      <c r="L43" s="411"/>
      <c r="M43" s="411"/>
      <c r="N43" s="411"/>
      <c r="O43" s="411"/>
      <c r="P43" s="411"/>
      <c r="Q43" s="312"/>
      <c r="T43" s="70"/>
      <c r="U43" s="70"/>
      <c r="V43" s="70"/>
      <c r="W43" s="70"/>
      <c r="X43" s="70"/>
    </row>
    <row r="44" spans="1:24" hidden="1" x14ac:dyDescent="0.3">
      <c r="A44" s="70"/>
      <c r="B44" s="446" t="s">
        <v>60</v>
      </c>
      <c r="C44" s="78"/>
      <c r="D44" s="50"/>
      <c r="E44" s="77"/>
      <c r="F44" s="455">
        <v>302500</v>
      </c>
      <c r="G44" s="148"/>
      <c r="H44" s="148"/>
      <c r="I44" s="77"/>
      <c r="J44" s="411"/>
      <c r="K44" s="411"/>
      <c r="L44" s="411"/>
      <c r="M44" s="411"/>
      <c r="N44" s="411"/>
      <c r="O44" s="411"/>
      <c r="P44" s="411"/>
      <c r="Q44" s="312"/>
      <c r="T44" s="70"/>
      <c r="U44" s="70"/>
      <c r="V44" s="70"/>
      <c r="W44" s="70"/>
      <c r="X44" s="70"/>
    </row>
    <row r="45" spans="1:24" hidden="1" x14ac:dyDescent="0.3">
      <c r="A45" s="70"/>
      <c r="B45" s="446" t="s">
        <v>61</v>
      </c>
      <c r="C45" s="78"/>
      <c r="D45" s="50"/>
      <c r="E45" s="77"/>
      <c r="F45" s="455">
        <v>171600</v>
      </c>
      <c r="G45" s="148"/>
      <c r="H45" s="148"/>
      <c r="I45" s="77"/>
      <c r="J45" s="411"/>
      <c r="K45" s="411"/>
      <c r="L45" s="411"/>
      <c r="M45" s="411"/>
      <c r="N45" s="411"/>
      <c r="O45" s="411"/>
      <c r="P45" s="411"/>
      <c r="Q45" s="312"/>
      <c r="T45" s="70"/>
      <c r="U45" s="70"/>
      <c r="V45" s="70"/>
      <c r="W45" s="70"/>
      <c r="X45" s="70"/>
    </row>
    <row r="46" spans="1:24" hidden="1" x14ac:dyDescent="0.3">
      <c r="A46" s="70"/>
      <c r="B46" s="446" t="s">
        <v>68</v>
      </c>
      <c r="C46" s="78"/>
      <c r="D46" s="50"/>
      <c r="E46" s="77"/>
      <c r="F46" s="455">
        <v>24200</v>
      </c>
      <c r="G46" s="148"/>
      <c r="H46" s="148"/>
      <c r="I46" s="77"/>
      <c r="J46" s="411"/>
      <c r="K46" s="411"/>
      <c r="L46" s="411"/>
      <c r="M46" s="411"/>
      <c r="N46" s="411"/>
      <c r="O46" s="411"/>
      <c r="P46" s="411"/>
      <c r="Q46" s="312"/>
      <c r="T46" s="70"/>
      <c r="U46" s="70"/>
      <c r="V46" s="70"/>
      <c r="W46" s="70"/>
      <c r="X46" s="70"/>
    </row>
    <row r="47" spans="1:24" hidden="1" x14ac:dyDescent="0.3">
      <c r="A47" s="70"/>
      <c r="B47" s="446" t="s">
        <v>62</v>
      </c>
      <c r="C47" s="78"/>
      <c r="D47" s="54"/>
      <c r="E47" s="77"/>
      <c r="F47" s="456">
        <v>159500</v>
      </c>
      <c r="G47" s="149"/>
      <c r="H47" s="149"/>
      <c r="I47" s="77"/>
      <c r="J47" s="411"/>
      <c r="K47" s="411"/>
      <c r="L47" s="411"/>
      <c r="M47" s="512"/>
      <c r="N47" s="411"/>
      <c r="O47" s="512"/>
      <c r="P47" s="411"/>
      <c r="Q47" s="583"/>
      <c r="T47" s="70"/>
      <c r="U47" s="70"/>
      <c r="V47" s="70"/>
      <c r="W47" s="70"/>
      <c r="X47" s="70"/>
    </row>
    <row r="48" spans="1:24" ht="15" thickBot="1" x14ac:dyDescent="0.35">
      <c r="A48" s="70"/>
      <c r="B48" s="451" t="s">
        <v>106</v>
      </c>
      <c r="C48" s="78"/>
      <c r="D48" s="54">
        <v>12240000</v>
      </c>
      <c r="E48" s="77"/>
      <c r="F48" s="472">
        <f>1000000*'Sammanfattande resultat'!E11</f>
        <v>0</v>
      </c>
      <c r="G48" s="149"/>
      <c r="H48" s="149"/>
      <c r="I48" s="104"/>
      <c r="J48" s="411"/>
      <c r="K48" s="411"/>
      <c r="L48" s="411"/>
      <c r="M48" s="411"/>
      <c r="N48" s="411"/>
      <c r="O48" s="411"/>
      <c r="P48" s="411"/>
      <c r="Q48" s="312"/>
      <c r="T48" s="70"/>
      <c r="U48" s="70"/>
      <c r="V48" s="70"/>
      <c r="W48" s="70"/>
      <c r="X48" s="70"/>
    </row>
    <row r="49" spans="1:24" ht="15" thickBot="1" x14ac:dyDescent="0.35">
      <c r="A49" s="70"/>
      <c r="B49" s="47" t="s">
        <v>108</v>
      </c>
      <c r="C49" s="84"/>
      <c r="D49" s="106">
        <f>SUM(D48:D48)</f>
        <v>12240000</v>
      </c>
      <c r="E49" s="69"/>
      <c r="F49" s="28">
        <f>SUM(F48:F48)</f>
        <v>0</v>
      </c>
      <c r="G49" s="147"/>
      <c r="H49" s="147"/>
      <c r="I49" s="104"/>
      <c r="J49" s="411"/>
      <c r="K49" s="411"/>
      <c r="L49" s="411"/>
      <c r="M49" s="512"/>
      <c r="N49" s="411"/>
      <c r="O49" s="512"/>
      <c r="P49" s="411"/>
      <c r="Q49" s="583"/>
      <c r="T49" s="70"/>
      <c r="U49" s="70"/>
      <c r="V49" s="70"/>
      <c r="W49" s="70"/>
      <c r="X49" s="70"/>
    </row>
    <row r="50" spans="1:24" x14ac:dyDescent="0.3">
      <c r="A50" s="70"/>
      <c r="B50" s="84"/>
      <c r="C50" s="84"/>
      <c r="D50" s="108"/>
      <c r="E50" s="69"/>
      <c r="F50" s="74"/>
      <c r="G50" s="74"/>
      <c r="H50" s="74"/>
      <c r="I50" s="104"/>
      <c r="J50" s="411"/>
      <c r="K50" s="411"/>
      <c r="L50" s="411"/>
      <c r="M50" s="411"/>
      <c r="N50" s="411"/>
      <c r="O50" s="411"/>
      <c r="P50" s="411"/>
      <c r="Q50" s="583"/>
      <c r="T50" s="70"/>
      <c r="U50" s="70"/>
      <c r="V50" s="70"/>
      <c r="W50" s="70"/>
      <c r="X50" s="70"/>
    </row>
    <row r="51" spans="1:24" ht="13.5" customHeight="1" x14ac:dyDescent="0.3">
      <c r="A51" s="70"/>
      <c r="B51" s="56" t="s">
        <v>250</v>
      </c>
      <c r="C51" s="84"/>
      <c r="D51" s="109">
        <v>-18125</v>
      </c>
      <c r="E51" s="69"/>
      <c r="F51" s="476">
        <v>0</v>
      </c>
      <c r="G51" s="147"/>
      <c r="H51" s="147"/>
      <c r="I51" s="104"/>
      <c r="J51" s="70"/>
      <c r="T51" s="70"/>
      <c r="U51" s="70"/>
      <c r="V51" s="70"/>
      <c r="W51" s="70"/>
      <c r="X51" s="70"/>
    </row>
    <row r="52" spans="1:24" x14ac:dyDescent="0.3">
      <c r="A52" s="70"/>
      <c r="B52" s="52"/>
      <c r="C52" s="84"/>
      <c r="D52" s="107"/>
      <c r="E52" s="69"/>
      <c r="F52" s="29"/>
      <c r="G52" s="74"/>
      <c r="H52" s="74"/>
      <c r="I52" s="74"/>
      <c r="J52" s="70"/>
      <c r="T52" s="70"/>
      <c r="U52" s="70"/>
      <c r="V52" s="70"/>
      <c r="W52" s="70"/>
      <c r="X52" s="70"/>
    </row>
    <row r="53" spans="1:24" s="62" customFormat="1" ht="16.649999999999999" customHeight="1" x14ac:dyDescent="0.3">
      <c r="A53" s="85"/>
      <c r="B53" s="160" t="s">
        <v>1</v>
      </c>
      <c r="C53" s="79"/>
      <c r="D53" s="161">
        <f>SUM(D32+D49)*25%</f>
        <v>3411412.5</v>
      </c>
      <c r="E53" s="162"/>
      <c r="F53" s="163">
        <f>SUM(F32+F49)*25%</f>
        <v>1.5</v>
      </c>
      <c r="G53" s="164"/>
      <c r="H53" s="164"/>
      <c r="I53" s="10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s="62" customFormat="1" ht="7.8" customHeight="1" x14ac:dyDescent="0.3">
      <c r="A54" s="85"/>
      <c r="B54" s="84"/>
      <c r="C54" s="84"/>
      <c r="D54" s="108"/>
      <c r="E54" s="69"/>
      <c r="F54" s="74"/>
      <c r="G54" s="74"/>
      <c r="H54" s="74"/>
      <c r="I54" s="10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ht="6" customHeight="1" thickBot="1" x14ac:dyDescent="0.35">
      <c r="A55" s="124"/>
      <c r="B55" s="84"/>
      <c r="C55" s="84"/>
      <c r="D55" s="108"/>
      <c r="E55" s="69"/>
      <c r="F55" s="74"/>
      <c r="G55" s="74"/>
      <c r="H55" s="74"/>
      <c r="I55" s="74"/>
      <c r="J55" s="70"/>
      <c r="T55" s="70"/>
      <c r="U55" s="70"/>
      <c r="V55" s="70"/>
      <c r="W55" s="70"/>
      <c r="X55" s="70"/>
    </row>
    <row r="56" spans="1:24" s="134" customFormat="1" ht="16.350000000000001" customHeight="1" thickBot="1" x14ac:dyDescent="0.35">
      <c r="A56" s="130"/>
      <c r="B56" s="126" t="s">
        <v>53</v>
      </c>
      <c r="C56" s="127"/>
      <c r="D56" s="131">
        <f>SUM(D32+D49+D51+D53)</f>
        <v>17038937.5</v>
      </c>
      <c r="E56" s="132"/>
      <c r="F56" s="475">
        <f>SUM(F32+F49+F51+F53)</f>
        <v>7.5</v>
      </c>
      <c r="G56" s="146"/>
      <c r="H56" s="146"/>
      <c r="J56" s="506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</row>
    <row r="57" spans="1:24" ht="7.35" customHeight="1" thickBot="1" x14ac:dyDescent="0.35">
      <c r="A57" s="70"/>
      <c r="B57" s="43"/>
      <c r="C57" s="78"/>
      <c r="D57" s="48"/>
      <c r="E57" s="77"/>
      <c r="F57" s="48"/>
      <c r="G57" s="77"/>
      <c r="H57" s="77"/>
      <c r="I57" s="74"/>
      <c r="J57" s="497"/>
      <c r="T57" s="70"/>
      <c r="U57" s="70"/>
      <c r="V57" s="70"/>
      <c r="W57" s="70"/>
      <c r="X57" s="70"/>
    </row>
    <row r="58" spans="1:24" ht="15" customHeight="1" thickBot="1" x14ac:dyDescent="0.35">
      <c r="A58" s="70"/>
      <c r="B58" s="448" t="s">
        <v>86</v>
      </c>
      <c r="C58" s="117"/>
      <c r="D58" s="152">
        <v>265500</v>
      </c>
      <c r="E58" s="116" t="s">
        <v>90</v>
      </c>
      <c r="F58" s="470">
        <v>1</v>
      </c>
      <c r="G58" s="148" t="s">
        <v>128</v>
      </c>
      <c r="H58" s="473" t="s">
        <v>277</v>
      </c>
      <c r="I58" s="474"/>
      <c r="J58" s="497"/>
      <c r="T58" s="70"/>
      <c r="U58" s="70"/>
      <c r="V58" s="70"/>
      <c r="W58" s="70"/>
      <c r="X58" s="70"/>
    </row>
    <row r="59" spans="1:24" ht="15" customHeight="1" x14ac:dyDescent="0.3">
      <c r="A59" s="70"/>
      <c r="B59" s="446" t="s">
        <v>249</v>
      </c>
      <c r="C59" s="78"/>
      <c r="D59" s="153">
        <v>358000</v>
      </c>
      <c r="E59" s="77"/>
      <c r="F59" s="471">
        <f>SUM(Referensunderlag!C47)*2%</f>
        <v>0.02</v>
      </c>
      <c r="G59" s="148" t="s">
        <v>128</v>
      </c>
      <c r="H59" s="543" t="s">
        <v>286</v>
      </c>
      <c r="I59" s="546"/>
      <c r="J59" s="497"/>
      <c r="T59" s="70"/>
      <c r="U59" s="70"/>
      <c r="V59" s="70"/>
      <c r="W59" s="70"/>
      <c r="X59" s="70"/>
    </row>
    <row r="60" spans="1:24" ht="16.5" customHeight="1" thickBot="1" x14ac:dyDescent="0.35">
      <c r="A60" s="70"/>
      <c r="B60" s="446" t="s">
        <v>127</v>
      </c>
      <c r="C60" s="78"/>
      <c r="D60" s="153">
        <v>60000</v>
      </c>
      <c r="E60" s="77"/>
      <c r="F60" s="472">
        <f>6000*'Sammanfattande resultat'!E11</f>
        <v>0</v>
      </c>
      <c r="G60" s="149"/>
      <c r="H60" s="547" t="s">
        <v>287</v>
      </c>
      <c r="I60" s="548"/>
      <c r="J60" s="497"/>
      <c r="T60" s="70"/>
      <c r="U60" s="70"/>
      <c r="V60" s="70"/>
      <c r="W60" s="70"/>
      <c r="X60" s="70"/>
    </row>
    <row r="61" spans="1:24" ht="15" customHeight="1" thickBot="1" x14ac:dyDescent="0.35">
      <c r="A61" s="70"/>
      <c r="B61" s="446" t="s">
        <v>209</v>
      </c>
      <c r="C61" s="78"/>
      <c r="D61" s="153">
        <f>0.8%*6000000</f>
        <v>48000</v>
      </c>
      <c r="E61" s="77"/>
      <c r="F61" s="472">
        <f>0.8%*'Stöd Boverket'!K13</f>
        <v>0</v>
      </c>
      <c r="G61" s="148" t="s">
        <v>128</v>
      </c>
      <c r="H61" s="544" t="s">
        <v>288</v>
      </c>
      <c r="I61" s="545"/>
      <c r="J61" s="497"/>
      <c r="T61" s="70"/>
      <c r="U61" s="70"/>
      <c r="V61" s="70"/>
      <c r="W61" s="70"/>
      <c r="X61" s="70"/>
    </row>
    <row r="62" spans="1:24" ht="16.649999999999999" customHeight="1" x14ac:dyDescent="0.3">
      <c r="A62" s="70"/>
      <c r="B62" s="446" t="s">
        <v>69</v>
      </c>
      <c r="C62" s="78"/>
      <c r="D62" s="154">
        <v>30000</v>
      </c>
      <c r="E62" s="77"/>
      <c r="F62" s="472">
        <v>1</v>
      </c>
      <c r="G62" s="149"/>
      <c r="H62" s="150"/>
      <c r="I62" s="77"/>
      <c r="J62" s="497"/>
      <c r="T62" s="70"/>
      <c r="U62" s="70"/>
      <c r="V62" s="70"/>
      <c r="W62" s="70"/>
      <c r="X62" s="70"/>
    </row>
    <row r="63" spans="1:24" ht="15" thickBot="1" x14ac:dyDescent="0.35">
      <c r="A63" s="70"/>
      <c r="B63" s="446" t="s">
        <v>234</v>
      </c>
      <c r="C63" s="78"/>
      <c r="D63" s="155"/>
      <c r="E63" s="115"/>
      <c r="F63" s="472">
        <v>1</v>
      </c>
      <c r="G63" s="150"/>
      <c r="H63" s="150"/>
      <c r="I63" s="103"/>
      <c r="J63" s="497"/>
      <c r="T63" s="70"/>
      <c r="U63" s="70"/>
      <c r="V63" s="70"/>
      <c r="W63" s="70"/>
      <c r="X63" s="70"/>
    </row>
    <row r="64" spans="1:24" s="134" customFormat="1" ht="15" thickBot="1" x14ac:dyDescent="0.35">
      <c r="A64" s="130"/>
      <c r="B64" s="126" t="s">
        <v>15</v>
      </c>
      <c r="C64" s="127"/>
      <c r="D64" s="131">
        <f>SUM(D58:D63)</f>
        <v>761500</v>
      </c>
      <c r="E64" s="132"/>
      <c r="F64" s="131">
        <f>SUM(F58:F63)</f>
        <v>3.02</v>
      </c>
      <c r="G64" s="146"/>
      <c r="H64" s="146"/>
      <c r="I64" s="135"/>
      <c r="J64" s="507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</row>
    <row r="65" spans="1:24" x14ac:dyDescent="0.3">
      <c r="A65" s="70"/>
      <c r="B65" s="82"/>
      <c r="C65" s="82"/>
      <c r="D65" s="82"/>
      <c r="E65" s="70"/>
      <c r="F65" s="70"/>
      <c r="H65" s="70"/>
      <c r="I65" s="70"/>
      <c r="J65" s="70"/>
      <c r="T65" s="70"/>
      <c r="U65" s="70"/>
      <c r="V65" s="70"/>
      <c r="W65" s="70"/>
      <c r="X65" s="70"/>
    </row>
    <row r="66" spans="1:24" x14ac:dyDescent="0.3">
      <c r="A66" s="70"/>
      <c r="B66" s="82"/>
      <c r="C66" s="82"/>
      <c r="D66" s="82"/>
      <c r="E66" s="70"/>
      <c r="F66" s="70"/>
      <c r="H66" s="70"/>
      <c r="I66" s="70"/>
      <c r="J66" s="70"/>
      <c r="T66" s="70"/>
      <c r="U66" s="70"/>
      <c r="V66" s="70"/>
      <c r="W66" s="70"/>
      <c r="X66" s="70"/>
    </row>
    <row r="67" spans="1:24" x14ac:dyDescent="0.3">
      <c r="A67" s="70"/>
      <c r="B67" s="82"/>
      <c r="C67" s="82"/>
      <c r="D67" s="82"/>
      <c r="E67" s="70"/>
      <c r="F67" s="70"/>
      <c r="H67" s="70"/>
      <c r="I67" s="70"/>
      <c r="J67" s="70"/>
      <c r="T67" s="70"/>
      <c r="U67" s="70"/>
      <c r="V67" s="70"/>
      <c r="W67" s="70"/>
      <c r="X67" s="70"/>
    </row>
    <row r="68" spans="1:24" x14ac:dyDescent="0.3">
      <c r="A68" s="70"/>
      <c r="B68" s="82"/>
      <c r="C68" s="82"/>
      <c r="D68" s="82"/>
      <c r="E68" s="70"/>
      <c r="F68" s="70"/>
      <c r="H68" s="70"/>
      <c r="I68" s="70"/>
      <c r="J68" s="70"/>
      <c r="T68" s="70"/>
      <c r="U68" s="70"/>
      <c r="V68" s="70"/>
      <c r="W68" s="70"/>
      <c r="X68" s="70"/>
    </row>
    <row r="69" spans="1:24" x14ac:dyDescent="0.3">
      <c r="A69" s="70"/>
      <c r="B69" s="82"/>
      <c r="C69" s="82"/>
      <c r="D69" s="82"/>
      <c r="E69" s="70"/>
      <c r="F69" s="70"/>
      <c r="H69" s="70"/>
      <c r="I69" s="70"/>
      <c r="J69" s="70"/>
      <c r="T69" s="70"/>
      <c r="U69" s="70"/>
      <c r="V69" s="70"/>
      <c r="W69" s="70"/>
      <c r="X69" s="70"/>
    </row>
    <row r="70" spans="1:24" x14ac:dyDescent="0.3">
      <c r="A70" s="70"/>
      <c r="B70" s="82"/>
      <c r="C70" s="82"/>
      <c r="D70" s="82"/>
      <c r="E70" s="70"/>
      <c r="F70" s="70"/>
      <c r="H70" s="70"/>
      <c r="I70" s="70"/>
      <c r="T70" s="70"/>
      <c r="U70" s="70"/>
      <c r="V70" s="70"/>
      <c r="W70" s="70"/>
      <c r="X70" s="70"/>
    </row>
    <row r="71" spans="1:24" s="70" customFormat="1" x14ac:dyDescent="0.3">
      <c r="B71" s="82"/>
      <c r="C71" s="82"/>
      <c r="D71" s="82"/>
    </row>
    <row r="72" spans="1:24" s="70" customFormat="1" x14ac:dyDescent="0.3">
      <c r="B72" s="82"/>
      <c r="C72" s="82"/>
      <c r="D72" s="82"/>
    </row>
    <row r="73" spans="1:24" s="70" customFormat="1" x14ac:dyDescent="0.3">
      <c r="B73" s="82"/>
      <c r="C73" s="82"/>
      <c r="D73" s="82"/>
    </row>
    <row r="74" spans="1:24" s="70" customFormat="1" x14ac:dyDescent="0.3">
      <c r="B74" s="82"/>
      <c r="C74" s="82"/>
      <c r="D74" s="82"/>
    </row>
    <row r="75" spans="1:24" s="70" customFormat="1" x14ac:dyDescent="0.3">
      <c r="B75" s="82"/>
      <c r="C75" s="82"/>
      <c r="D75" s="82"/>
    </row>
    <row r="76" spans="1:24" s="70" customFormat="1" x14ac:dyDescent="0.3">
      <c r="B76" s="82"/>
      <c r="C76" s="82"/>
      <c r="D76" s="82"/>
    </row>
    <row r="77" spans="1:24" s="70" customFormat="1" x14ac:dyDescent="0.3">
      <c r="B77" s="82"/>
      <c r="C77" s="82"/>
      <c r="D77" s="82"/>
    </row>
    <row r="78" spans="1:24" s="70" customFormat="1" x14ac:dyDescent="0.3">
      <c r="B78" s="82"/>
      <c r="C78" s="82"/>
      <c r="D78" s="82"/>
    </row>
    <row r="79" spans="1:24" s="151" customFormat="1" x14ac:dyDescent="0.3">
      <c r="B79" s="82"/>
    </row>
    <row r="80" spans="1:24" s="70" customFormat="1" x14ac:dyDescent="0.3">
      <c r="B80" s="151"/>
      <c r="C80" s="82"/>
      <c r="D80" s="82"/>
    </row>
    <row r="81" spans="2:8" s="70" customFormat="1" x14ac:dyDescent="0.3">
      <c r="B81" s="82"/>
      <c r="C81" s="82"/>
      <c r="D81" s="82"/>
      <c r="F81" s="82"/>
      <c r="G81" s="82"/>
      <c r="H81" s="82"/>
    </row>
    <row r="82" spans="2:8" s="70" customFormat="1" x14ac:dyDescent="0.3">
      <c r="B82" s="82"/>
      <c r="C82" s="82"/>
      <c r="D82" s="82"/>
      <c r="F82" s="88"/>
      <c r="G82" s="88"/>
      <c r="H82" s="88"/>
    </row>
    <row r="83" spans="2:8" s="70" customFormat="1" x14ac:dyDescent="0.3">
      <c r="B83" s="82"/>
      <c r="C83" s="82"/>
      <c r="D83" s="82"/>
    </row>
    <row r="84" spans="2:8" s="70" customFormat="1" x14ac:dyDescent="0.3">
      <c r="B84" s="82"/>
      <c r="C84" s="82"/>
      <c r="D84" s="82"/>
    </row>
    <row r="85" spans="2:8" s="70" customFormat="1" x14ac:dyDescent="0.3">
      <c r="B85" s="82"/>
      <c r="C85" s="82"/>
      <c r="D85" s="82"/>
    </row>
    <row r="86" spans="2:8" s="70" customFormat="1" x14ac:dyDescent="0.3">
      <c r="B86" s="82"/>
      <c r="C86" s="82"/>
      <c r="D86" s="82"/>
    </row>
    <row r="87" spans="2:8" s="70" customFormat="1" x14ac:dyDescent="0.3">
      <c r="B87" s="82"/>
      <c r="C87" s="82"/>
      <c r="D87" s="82"/>
    </row>
    <row r="104" spans="2:19" s="3" customFormat="1" x14ac:dyDescent="0.3">
      <c r="B104" s="39"/>
      <c r="K104" s="71"/>
      <c r="L104" s="71"/>
      <c r="M104" s="71"/>
      <c r="N104" s="71"/>
      <c r="O104" s="71"/>
      <c r="P104" s="71"/>
      <c r="Q104" s="71"/>
      <c r="R104" s="71"/>
      <c r="S104" s="71"/>
    </row>
    <row r="105" spans="2:19" x14ac:dyDescent="0.3">
      <c r="B105" s="3"/>
    </row>
    <row r="113" ht="20.399999999999999" customHeight="1" x14ac:dyDescent="0.3"/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52"/>
  <sheetViews>
    <sheetView zoomScale="70" zoomScaleNormal="70" workbookViewId="0">
      <selection activeCell="H10" sqref="H10"/>
    </sheetView>
  </sheetViews>
  <sheetFormatPr defaultRowHeight="14.4" x14ac:dyDescent="0.3"/>
  <cols>
    <col min="1" max="1" width="2.109375" customWidth="1"/>
    <col min="2" max="2" width="8.109375" customWidth="1"/>
    <col min="3" max="3" width="6.6640625" customWidth="1"/>
    <col min="4" max="4" width="12.44140625" customWidth="1"/>
    <col min="5" max="5" width="10.44140625" customWidth="1"/>
    <col min="6" max="6" width="1.88671875" customWidth="1"/>
    <col min="7" max="7" width="8.33203125" customWidth="1"/>
    <col min="8" max="8" width="10.5546875" customWidth="1"/>
    <col min="10" max="10" width="7.5546875" customWidth="1"/>
    <col min="11" max="11" width="10.33203125" customWidth="1"/>
    <col min="12" max="12" width="17.21875" customWidth="1"/>
    <col min="13" max="13" width="2.88671875" customWidth="1"/>
    <col min="14" max="14" width="6.6640625" customWidth="1"/>
    <col min="15" max="15" width="13.88671875" customWidth="1"/>
    <col min="16" max="16" width="2.33203125" customWidth="1"/>
    <col min="19" max="34" width="8.88671875" style="70"/>
  </cols>
  <sheetData>
    <row r="1" spans="1:18" ht="33.6" customHeight="1" x14ac:dyDescent="0.3">
      <c r="A1" s="298"/>
      <c r="B1" s="298"/>
      <c r="C1" s="298"/>
      <c r="D1" s="298"/>
      <c r="E1" s="298"/>
      <c r="F1" s="298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5.8" customHeight="1" thickBot="1" x14ac:dyDescent="0.35">
      <c r="A2" s="298"/>
      <c r="B2" s="298"/>
      <c r="C2" s="298"/>
      <c r="D2" s="298"/>
      <c r="E2" s="298"/>
      <c r="F2" s="298"/>
      <c r="G2" s="669" t="s">
        <v>129</v>
      </c>
      <c r="H2" s="670"/>
      <c r="I2" s="670"/>
      <c r="J2" s="670"/>
      <c r="K2" s="670"/>
      <c r="L2" s="670"/>
      <c r="M2" s="671"/>
      <c r="N2" s="671"/>
      <c r="O2" s="70"/>
      <c r="P2" s="70"/>
      <c r="Q2" s="70"/>
      <c r="R2" s="70"/>
    </row>
    <row r="3" spans="1:18" ht="15" customHeight="1" x14ac:dyDescent="0.3">
      <c r="A3" s="298"/>
      <c r="B3" s="71" t="s">
        <v>41</v>
      </c>
      <c r="C3" s="416"/>
      <c r="D3" s="416"/>
      <c r="E3" s="416"/>
      <c r="F3" s="298"/>
      <c r="G3" s="437" t="s">
        <v>130</v>
      </c>
      <c r="H3" s="438"/>
      <c r="I3" s="438"/>
      <c r="J3" s="438"/>
      <c r="K3" s="439"/>
      <c r="L3" s="609"/>
      <c r="M3" s="441"/>
      <c r="N3" s="141"/>
      <c r="O3" s="70"/>
      <c r="P3" s="70"/>
      <c r="Q3" s="70"/>
      <c r="R3" s="70"/>
    </row>
    <row r="4" spans="1:18" x14ac:dyDescent="0.3">
      <c r="A4" s="298"/>
      <c r="B4" s="70"/>
      <c r="C4" s="70"/>
      <c r="D4" s="70"/>
      <c r="F4" s="301"/>
      <c r="G4" s="440" t="s">
        <v>131</v>
      </c>
      <c r="H4" s="441"/>
      <c r="I4" s="441"/>
      <c r="J4" s="441"/>
      <c r="K4" s="442"/>
      <c r="L4" s="610"/>
      <c r="M4" s="441"/>
      <c r="N4" s="141"/>
      <c r="O4" s="70"/>
      <c r="P4" s="70"/>
      <c r="Q4" s="70"/>
      <c r="R4" s="70"/>
    </row>
    <row r="5" spans="1:18" ht="44.4" customHeight="1" x14ac:dyDescent="0.3">
      <c r="A5" s="298"/>
      <c r="B5" s="619" t="s">
        <v>305</v>
      </c>
      <c r="C5" s="618" t="s">
        <v>16</v>
      </c>
      <c r="D5" s="619" t="s">
        <v>18</v>
      </c>
      <c r="E5" s="619" t="s">
        <v>37</v>
      </c>
      <c r="F5" s="298"/>
      <c r="G5" s="615" t="s">
        <v>132</v>
      </c>
      <c r="H5" s="199" t="s">
        <v>133</v>
      </c>
      <c r="I5" s="199" t="s">
        <v>134</v>
      </c>
      <c r="J5" s="200" t="s">
        <v>302</v>
      </c>
      <c r="K5" s="201" t="s">
        <v>136</v>
      </c>
      <c r="L5" s="611" t="s">
        <v>265</v>
      </c>
      <c r="M5" s="608"/>
      <c r="N5" s="608"/>
      <c r="O5" s="70"/>
      <c r="P5" s="70"/>
      <c r="Q5" s="70"/>
      <c r="R5" s="70"/>
    </row>
    <row r="6" spans="1:18" x14ac:dyDescent="0.3">
      <c r="A6" s="298"/>
      <c r="B6" s="639">
        <f>SUM('Sammanfattande resultat'!B7)</f>
        <v>0</v>
      </c>
      <c r="C6" s="638">
        <f>SUM('Sammanfattande resultat'!C7)</f>
        <v>0</v>
      </c>
      <c r="D6" s="7">
        <f>SUM(K19)</f>
        <v>63948</v>
      </c>
      <c r="E6" s="7" t="e">
        <f>SUM(D6)/C6</f>
        <v>#DIV/0!</v>
      </c>
      <c r="F6" s="298"/>
      <c r="G6" s="205"/>
      <c r="H6" s="202"/>
      <c r="I6" s="202"/>
      <c r="J6" s="202"/>
      <c r="K6" s="203"/>
      <c r="L6" s="612"/>
      <c r="M6" s="141"/>
      <c r="N6" s="141"/>
      <c r="O6" s="70"/>
      <c r="P6" s="70"/>
      <c r="Q6" s="70"/>
      <c r="R6" s="70"/>
    </row>
    <row r="7" spans="1:18" x14ac:dyDescent="0.3">
      <c r="A7" s="298"/>
      <c r="B7" s="640">
        <f>SUM('Sammanfattande resultat'!B8)</f>
        <v>0</v>
      </c>
      <c r="C7" s="605">
        <f>SUM('Sammanfattande resultat'!C8)</f>
        <v>0</v>
      </c>
      <c r="D7" s="8">
        <f>SUM(K20)</f>
        <v>92556</v>
      </c>
      <c r="E7" s="8" t="e">
        <f>SUM(D7)/C7</f>
        <v>#DIV/0!</v>
      </c>
      <c r="F7" s="298"/>
      <c r="G7" s="655">
        <f>SUM(B6)</f>
        <v>0</v>
      </c>
      <c r="H7" s="242">
        <f>SUM('Sammanfattande resultat'!C7)</f>
        <v>0</v>
      </c>
      <c r="I7" s="233">
        <f>SUM(K19)</f>
        <v>63948</v>
      </c>
      <c r="J7" s="202"/>
      <c r="K7" s="203" t="b">
        <f>IF(G7=1,H7+34,IF(G7=2,H7+40,IF(G7=3,H7+44,IF(G7=4,H7+49,IF(G7=5,H7+52,IF(G7=6,H7+55,IF(G7=1.5,H7+27,IF(G7=2.5,H7+34))))))))</f>
        <v>0</v>
      </c>
      <c r="L7" s="613" t="e">
        <f>I7/(K7+J7)*121/77</f>
        <v>#DIV/0!</v>
      </c>
      <c r="M7" s="141"/>
      <c r="N7" s="141"/>
      <c r="O7" s="70"/>
      <c r="P7" s="70"/>
      <c r="Q7" s="70"/>
      <c r="R7" s="70"/>
    </row>
    <row r="8" spans="1:18" x14ac:dyDescent="0.3">
      <c r="A8" s="298"/>
      <c r="B8" s="640">
        <f>SUM('Sammanfattande resultat'!B9)</f>
        <v>0</v>
      </c>
      <c r="C8" s="605">
        <f>SUM('Sammanfattande resultat'!C9)</f>
        <v>0</v>
      </c>
      <c r="D8" s="8">
        <f t="shared" ref="D8:D9" si="0">SUM(K21)</f>
        <v>103896</v>
      </c>
      <c r="E8" s="8" t="e">
        <f t="shared" ref="E8:E9" si="1">SUM(D8)/C8</f>
        <v>#DIV/0!</v>
      </c>
      <c r="F8" s="298"/>
      <c r="G8" s="655">
        <f t="shared" ref="G8:G10" si="2">SUM(B7)</f>
        <v>0</v>
      </c>
      <c r="H8" s="242">
        <f>SUM('Sammanfattande resultat'!C8)</f>
        <v>0</v>
      </c>
      <c r="I8" s="233">
        <f>SUM(K20)</f>
        <v>92556</v>
      </c>
      <c r="J8" s="202"/>
      <c r="K8" s="203" t="b">
        <f>IF(G8=1,H8+34,IF(G8=2,H8+40,IF(G8=3,H8+44,IF(G8=4,H8+49,IF(G8=5,H8+52,IF(G8=6,H8+55,IF(G8=1.5,H8+27,IF(G8=2.5,H8+34))))))))</f>
        <v>0</v>
      </c>
      <c r="L8" s="613" t="e">
        <f>I8/(K8+J8)*121/77</f>
        <v>#DIV/0!</v>
      </c>
      <c r="M8" s="141"/>
      <c r="N8" s="141"/>
      <c r="O8" s="70"/>
      <c r="P8" s="70"/>
      <c r="Q8" s="70"/>
      <c r="R8" s="70"/>
    </row>
    <row r="9" spans="1:18" x14ac:dyDescent="0.3">
      <c r="A9" s="298"/>
      <c r="B9" s="641">
        <f>SUM('Sammanfattande resultat'!B10)</f>
        <v>0</v>
      </c>
      <c r="C9" s="606">
        <f>SUM('Sammanfattande resultat'!C10)</f>
        <v>0</v>
      </c>
      <c r="D9" s="9">
        <f t="shared" si="0"/>
        <v>103344</v>
      </c>
      <c r="E9" s="9" t="e">
        <f t="shared" si="1"/>
        <v>#DIV/0!</v>
      </c>
      <c r="F9" s="298"/>
      <c r="G9" s="655">
        <f t="shared" si="2"/>
        <v>0</v>
      </c>
      <c r="H9" s="242">
        <f>SUM('Sammanfattande resultat'!C9)</f>
        <v>0</v>
      </c>
      <c r="I9" s="233">
        <f>SUM(K21)</f>
        <v>103896</v>
      </c>
      <c r="J9" s="202"/>
      <c r="K9" s="203" t="b">
        <f>IF(G9=1,H9+34,IF(G9=2,H9+40,IF(G9=3,H9+44,IF(G9=4,H9+49,IF(G9=5,H9+52,IF(G9=6,H9+55,IF(G9=1.5,H9+27,IF(G9=2.5,H9+34))))))))</f>
        <v>0</v>
      </c>
      <c r="L9" s="613" t="e">
        <f>I9/(K9+J9)*121/77</f>
        <v>#DIV/0!</v>
      </c>
      <c r="M9" s="141"/>
      <c r="N9" s="141"/>
      <c r="O9" s="70"/>
      <c r="P9" s="70"/>
      <c r="Q9" s="70"/>
      <c r="R9" s="70"/>
    </row>
    <row r="10" spans="1:18" ht="15" thickBot="1" x14ac:dyDescent="0.35">
      <c r="A10" s="298"/>
      <c r="B10" s="416"/>
      <c r="C10" s="416"/>
      <c r="D10" s="416"/>
      <c r="E10" s="416"/>
      <c r="F10" s="298"/>
      <c r="G10" s="656">
        <f t="shared" si="2"/>
        <v>0</v>
      </c>
      <c r="H10" s="665">
        <f>SUM('Sammanfattande resultat'!C10)</f>
        <v>0</v>
      </c>
      <c r="I10" s="234">
        <f>SUM(K22)</f>
        <v>103344</v>
      </c>
      <c r="J10" s="204"/>
      <c r="K10" s="206" t="b">
        <f>IF(G10=1,H10+34,IF(G10=2,H10+40,IF(G10=3,H10+44,IF(G10=4,H10+49,IF(G10=5,H10+52,IF(G10=6,H10+55,IF(G10=1.5,H10+27,IF(G10=2.5,H10+34))))))))</f>
        <v>0</v>
      </c>
      <c r="L10" s="614" t="e">
        <f>I10/(K10+J10)*121/77</f>
        <v>#DIV/0!</v>
      </c>
      <c r="M10" s="141"/>
      <c r="N10" s="136"/>
      <c r="O10" s="70"/>
      <c r="P10" s="70"/>
      <c r="Q10" s="70"/>
      <c r="R10" s="70"/>
    </row>
    <row r="11" spans="1:18" x14ac:dyDescent="0.3">
      <c r="A11" s="298"/>
      <c r="B11" s="416" t="s">
        <v>38</v>
      </c>
      <c r="C11" s="70"/>
      <c r="D11" s="416" t="s">
        <v>39</v>
      </c>
      <c r="E11" s="416"/>
      <c r="F11" s="298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 ht="15" thickBot="1" x14ac:dyDescent="0.35">
      <c r="A12" s="298"/>
      <c r="B12" s="416" t="s">
        <v>40</v>
      </c>
      <c r="C12" s="70"/>
      <c r="D12" s="416" t="s">
        <v>39</v>
      </c>
      <c r="E12" s="416"/>
      <c r="F12" s="298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18" ht="16.2" thickBot="1" x14ac:dyDescent="0.35">
      <c r="A13" s="298"/>
      <c r="B13" s="416" t="s">
        <v>109</v>
      </c>
      <c r="C13" s="70"/>
      <c r="D13" s="416" t="s">
        <v>110</v>
      </c>
      <c r="E13" s="416"/>
      <c r="F13" s="298"/>
      <c r="G13" s="517" t="s">
        <v>266</v>
      </c>
      <c r="H13" s="70"/>
      <c r="I13" s="519">
        <v>1450</v>
      </c>
      <c r="J13" s="433"/>
      <c r="K13" s="433"/>
      <c r="L13" s="432"/>
      <c r="M13" s="432"/>
      <c r="N13" s="70"/>
      <c r="O13" s="70"/>
      <c r="P13" s="70"/>
      <c r="Q13" s="70"/>
      <c r="R13" s="70"/>
    </row>
    <row r="14" spans="1:18" x14ac:dyDescent="0.3">
      <c r="A14" s="298"/>
      <c r="B14" s="416" t="s">
        <v>111</v>
      </c>
      <c r="C14" s="70"/>
      <c r="D14" s="416" t="s">
        <v>39</v>
      </c>
      <c r="E14" s="416"/>
      <c r="F14" s="298"/>
      <c r="G14" s="518" t="s">
        <v>267</v>
      </c>
      <c r="H14" s="70"/>
      <c r="I14" s="434" t="s">
        <v>212</v>
      </c>
      <c r="J14" s="433"/>
      <c r="K14" s="433"/>
      <c r="L14" s="432"/>
      <c r="M14" s="432"/>
      <c r="N14" s="70"/>
      <c r="O14" s="70"/>
      <c r="P14" s="70"/>
      <c r="Q14" s="70"/>
      <c r="R14" s="70"/>
    </row>
    <row r="15" spans="1:18" ht="18.600000000000001" customHeight="1" thickBot="1" x14ac:dyDescent="0.35">
      <c r="A15" s="298"/>
      <c r="B15" s="416" t="s">
        <v>112</v>
      </c>
      <c r="C15" s="70"/>
      <c r="D15" s="416" t="s">
        <v>39</v>
      </c>
      <c r="E15" s="416"/>
      <c r="F15" s="604"/>
      <c r="G15" s="616" t="s">
        <v>194</v>
      </c>
      <c r="H15" s="616"/>
      <c r="I15" s="616"/>
      <c r="J15" s="617"/>
      <c r="K15" s="617"/>
      <c r="L15" s="616"/>
      <c r="M15" s="616"/>
      <c r="N15" s="77"/>
      <c r="O15" s="77"/>
      <c r="P15" s="70"/>
      <c r="Q15" s="70"/>
      <c r="R15" s="70"/>
    </row>
    <row r="16" spans="1:18" ht="40.200000000000003" x14ac:dyDescent="0.3">
      <c r="A16" s="70"/>
      <c r="B16" s="607" t="s">
        <v>113</v>
      </c>
      <c r="C16" s="70"/>
      <c r="D16" s="607" t="s">
        <v>110</v>
      </c>
      <c r="E16" s="607"/>
      <c r="F16" s="70"/>
      <c r="G16" s="642" t="s">
        <v>132</v>
      </c>
      <c r="H16" s="643" t="s">
        <v>133</v>
      </c>
      <c r="I16" s="644" t="s">
        <v>135</v>
      </c>
      <c r="J16" s="645" t="s">
        <v>195</v>
      </c>
      <c r="K16" s="646" t="s">
        <v>196</v>
      </c>
      <c r="L16" s="647" t="s">
        <v>211</v>
      </c>
      <c r="M16" s="432"/>
      <c r="N16" s="70"/>
      <c r="O16" s="70"/>
      <c r="P16" s="70"/>
      <c r="Q16" s="70"/>
      <c r="R16" s="70"/>
    </row>
    <row r="17" spans="1:18" x14ac:dyDescent="0.3">
      <c r="A17" s="70"/>
      <c r="B17" s="141"/>
      <c r="C17" s="141"/>
      <c r="D17" s="141"/>
      <c r="E17" s="516"/>
      <c r="F17" s="141"/>
      <c r="G17" s="648"/>
      <c r="H17" s="231"/>
      <c r="I17" s="231"/>
      <c r="J17" s="232"/>
      <c r="K17" s="232"/>
      <c r="L17" s="649"/>
      <c r="M17" s="432"/>
      <c r="N17" s="70"/>
      <c r="O17" s="70"/>
      <c r="P17" s="70"/>
      <c r="Q17" s="70"/>
      <c r="R17" s="70"/>
    </row>
    <row r="18" spans="1:18" x14ac:dyDescent="0.3">
      <c r="A18" s="70"/>
      <c r="B18" s="141"/>
      <c r="C18" s="141"/>
      <c r="D18" s="141"/>
      <c r="E18" s="141"/>
      <c r="F18" s="141"/>
      <c r="G18" s="648"/>
      <c r="H18" s="231"/>
      <c r="I18" s="231"/>
      <c r="J18" s="232"/>
      <c r="K18" s="232"/>
      <c r="L18" s="649"/>
      <c r="M18" s="432"/>
      <c r="N18" s="70"/>
      <c r="O18" s="70"/>
      <c r="P18" s="70"/>
      <c r="Q18" s="70"/>
      <c r="R18" s="70"/>
    </row>
    <row r="19" spans="1:18" x14ac:dyDescent="0.3">
      <c r="A19" s="70"/>
      <c r="B19" s="141"/>
      <c r="C19" s="141"/>
      <c r="D19" s="141"/>
      <c r="E19" s="516"/>
      <c r="F19" s="141"/>
      <c r="G19" s="657">
        <f>SUM(G7)</f>
        <v>0</v>
      </c>
      <c r="H19" s="231">
        <f>SUM(H7)</f>
        <v>0</v>
      </c>
      <c r="I19" s="231"/>
      <c r="J19" s="232">
        <f>SUM(K7)</f>
        <v>0</v>
      </c>
      <c r="K19" s="263">
        <f>SUM(L19)*12</f>
        <v>63948</v>
      </c>
      <c r="L19" s="650">
        <f>5306+23</f>
        <v>5329</v>
      </c>
      <c r="M19" s="432" t="s">
        <v>268</v>
      </c>
      <c r="N19" s="70"/>
      <c r="O19" s="70"/>
      <c r="P19" s="70"/>
      <c r="Q19" s="70"/>
      <c r="R19" s="70"/>
    </row>
    <row r="20" spans="1:18" x14ac:dyDescent="0.3">
      <c r="A20" s="70"/>
      <c r="B20" s="70"/>
      <c r="C20" s="70"/>
      <c r="D20" s="70"/>
      <c r="E20" s="70"/>
      <c r="F20" s="70"/>
      <c r="G20" s="657">
        <f t="shared" ref="G20:G22" si="3">SUM(G8)</f>
        <v>0</v>
      </c>
      <c r="H20" s="231">
        <f>SUM(H8)</f>
        <v>0</v>
      </c>
      <c r="I20" s="231"/>
      <c r="J20" s="232">
        <f>SUM(K8)</f>
        <v>0</v>
      </c>
      <c r="K20" s="263">
        <f>SUM(L20)*12</f>
        <v>92556</v>
      </c>
      <c r="L20" s="650">
        <f>7613+100</f>
        <v>7713</v>
      </c>
      <c r="M20" s="432" t="s">
        <v>269</v>
      </c>
      <c r="N20" s="70"/>
      <c r="O20" s="70"/>
      <c r="P20" s="70"/>
      <c r="Q20" s="70"/>
      <c r="R20" s="70"/>
    </row>
    <row r="21" spans="1:18" x14ac:dyDescent="0.3">
      <c r="A21" s="70"/>
      <c r="B21" s="70"/>
      <c r="C21" s="70"/>
      <c r="D21" s="70"/>
      <c r="E21" s="70"/>
      <c r="F21" s="70"/>
      <c r="G21" s="657">
        <f t="shared" si="3"/>
        <v>0</v>
      </c>
      <c r="H21" s="231">
        <f>SUM(H9)</f>
        <v>0</v>
      </c>
      <c r="I21" s="231"/>
      <c r="J21" s="232">
        <f>SUM(K9)</f>
        <v>0</v>
      </c>
      <c r="K21" s="263">
        <f>SUM(L21)*12</f>
        <v>103896</v>
      </c>
      <c r="L21" s="650">
        <f>8612+46</f>
        <v>8658</v>
      </c>
      <c r="M21" s="432" t="s">
        <v>270</v>
      </c>
      <c r="N21" s="70"/>
      <c r="O21" s="70"/>
      <c r="P21" s="70"/>
      <c r="Q21" s="70"/>
      <c r="R21" s="70"/>
    </row>
    <row r="22" spans="1:18" x14ac:dyDescent="0.3">
      <c r="A22" s="70"/>
      <c r="B22" s="70"/>
      <c r="C22" s="70"/>
      <c r="D22" s="70"/>
      <c r="E22" s="70"/>
      <c r="F22" s="70"/>
      <c r="G22" s="657">
        <f t="shared" si="3"/>
        <v>0</v>
      </c>
      <c r="H22" s="241">
        <f>SUM(H10)</f>
        <v>0</v>
      </c>
      <c r="I22" s="231"/>
      <c r="J22" s="232">
        <f>SUM(K10)</f>
        <v>0</v>
      </c>
      <c r="K22" s="263">
        <f>SUM(L22)*12</f>
        <v>103344</v>
      </c>
      <c r="L22" s="650">
        <f>8612</f>
        <v>8612</v>
      </c>
      <c r="M22" s="432" t="s">
        <v>271</v>
      </c>
      <c r="N22" s="70"/>
      <c r="O22" s="70"/>
      <c r="P22" s="70"/>
      <c r="Q22" s="70"/>
      <c r="R22" s="70"/>
    </row>
    <row r="23" spans="1:18" ht="15" thickBot="1" x14ac:dyDescent="0.35">
      <c r="A23" s="70"/>
      <c r="B23" s="70"/>
      <c r="C23" s="70"/>
      <c r="D23" s="70"/>
      <c r="E23" s="70"/>
      <c r="F23" s="70"/>
      <c r="G23" s="651"/>
      <c r="H23" s="652"/>
      <c r="I23" s="652"/>
      <c r="J23" s="653"/>
      <c r="K23" s="653"/>
      <c r="L23" s="654"/>
      <c r="M23" s="432"/>
      <c r="N23" s="70"/>
      <c r="O23" s="70"/>
      <c r="P23" s="70"/>
      <c r="Q23" s="70"/>
      <c r="R23" s="70"/>
    </row>
    <row r="24" spans="1:18" x14ac:dyDescent="0.3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x14ac:dyDescent="0.3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18" s="70" customFormat="1" x14ac:dyDescent="0.3"/>
    <row r="27" spans="1:18" s="70" customFormat="1" x14ac:dyDescent="0.3"/>
    <row r="28" spans="1:18" s="70" customFormat="1" x14ac:dyDescent="0.3"/>
    <row r="29" spans="1:18" s="70" customFormat="1" x14ac:dyDescent="0.3"/>
    <row r="30" spans="1:18" s="70" customFormat="1" x14ac:dyDescent="0.3"/>
    <row r="31" spans="1:18" s="70" customFormat="1" x14ac:dyDescent="0.3"/>
    <row r="32" spans="1:18" s="70" customFormat="1" x14ac:dyDescent="0.3"/>
    <row r="33" s="70" customFormat="1" x14ac:dyDescent="0.3"/>
    <row r="34" s="70" customFormat="1" x14ac:dyDescent="0.3"/>
    <row r="35" s="70" customFormat="1" x14ac:dyDescent="0.3"/>
    <row r="36" s="70" customFormat="1" x14ac:dyDescent="0.3"/>
    <row r="37" s="70" customFormat="1" x14ac:dyDescent="0.3"/>
    <row r="38" s="70" customFormat="1" x14ac:dyDescent="0.3"/>
    <row r="39" s="70" customFormat="1" x14ac:dyDescent="0.3"/>
    <row r="40" s="70" customFormat="1" x14ac:dyDescent="0.3"/>
    <row r="41" s="70" customFormat="1" x14ac:dyDescent="0.3"/>
    <row r="42" s="70" customFormat="1" x14ac:dyDescent="0.3"/>
    <row r="43" s="70" customFormat="1" x14ac:dyDescent="0.3"/>
    <row r="44" s="70" customFormat="1" x14ac:dyDescent="0.3"/>
    <row r="45" s="70" customFormat="1" x14ac:dyDescent="0.3"/>
    <row r="46" s="70" customFormat="1" x14ac:dyDescent="0.3"/>
    <row r="47" s="70" customFormat="1" x14ac:dyDescent="0.3"/>
    <row r="48" s="70" customFormat="1" x14ac:dyDescent="0.3"/>
    <row r="49" s="70" customFormat="1" x14ac:dyDescent="0.3"/>
    <row r="50" s="70" customFormat="1" x14ac:dyDescent="0.3"/>
    <row r="51" s="70" customFormat="1" x14ac:dyDescent="0.3"/>
    <row r="52" s="70" customFormat="1" x14ac:dyDescent="0.3"/>
  </sheetData>
  <mergeCells count="1">
    <mergeCell ref="G2:N2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9D83-2858-4FF8-ACEC-AC3EBE2F444B}">
  <dimension ref="A1:AK98"/>
  <sheetViews>
    <sheetView zoomScale="60" zoomScaleNormal="60" workbookViewId="0">
      <selection activeCell="C24" sqref="C24"/>
    </sheetView>
  </sheetViews>
  <sheetFormatPr defaultRowHeight="14.4" x14ac:dyDescent="0.3"/>
  <cols>
    <col min="1" max="1" width="1.33203125" customWidth="1"/>
    <col min="2" max="2" width="33.33203125" customWidth="1"/>
    <col min="3" max="3" width="16" customWidth="1"/>
    <col min="4" max="4" width="15.21875" customWidth="1"/>
    <col min="5" max="5" width="12.5546875" customWidth="1"/>
    <col min="6" max="6" width="13.21875" customWidth="1"/>
    <col min="7" max="7" width="9" customWidth="1"/>
    <col min="8" max="8" width="33.6640625" customWidth="1"/>
    <col min="9" max="9" width="11" customWidth="1"/>
    <col min="10" max="10" width="9.33203125" customWidth="1"/>
    <col min="11" max="11" width="18.33203125" customWidth="1"/>
    <col min="12" max="12" width="15.5546875" bestFit="1" customWidth="1"/>
    <col min="13" max="15" width="14.5546875" customWidth="1"/>
    <col min="16" max="16" width="14.33203125" customWidth="1"/>
    <col min="17" max="17" width="14.5546875" style="11" customWidth="1"/>
    <col min="18" max="18" width="13.6640625" style="64" bestFit="1" customWidth="1"/>
    <col min="19" max="19" width="11.5546875" style="70" customWidth="1"/>
    <col min="20" max="20" width="12.21875" style="70" customWidth="1"/>
    <col min="21" max="21" width="8.88671875" style="70"/>
    <col min="22" max="22" width="19.109375" style="70" customWidth="1"/>
    <col min="23" max="37" width="8.88671875" style="70"/>
  </cols>
  <sheetData>
    <row r="1" spans="1:37" s="488" customFormat="1" ht="47.4" customHeight="1" x14ac:dyDescent="0.3">
      <c r="A1" s="487"/>
      <c r="B1" s="487" t="s">
        <v>272</v>
      </c>
      <c r="C1" s="487"/>
      <c r="D1" s="487"/>
      <c r="E1" s="487"/>
      <c r="F1" s="487"/>
      <c r="G1" s="487"/>
      <c r="H1" s="487"/>
      <c r="I1" s="487"/>
      <c r="J1" s="487"/>
      <c r="K1" s="487" t="s">
        <v>273</v>
      </c>
      <c r="L1" s="487"/>
      <c r="M1" s="487"/>
      <c r="N1" s="487"/>
      <c r="O1" s="487"/>
      <c r="P1" s="487"/>
      <c r="Q1" s="504"/>
      <c r="R1" s="505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</row>
    <row r="2" spans="1:37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02"/>
      <c r="R2" s="411"/>
    </row>
    <row r="3" spans="1:37" s="48" customFormat="1" ht="27" customHeight="1" x14ac:dyDescent="0.3">
      <c r="A3" s="77"/>
      <c r="B3" s="677" t="s">
        <v>70</v>
      </c>
      <c r="C3" s="678"/>
      <c r="D3" s="678"/>
      <c r="E3" s="678"/>
      <c r="F3" s="77"/>
      <c r="G3" s="69"/>
      <c r="H3" s="333" t="s">
        <v>70</v>
      </c>
      <c r="I3" s="77"/>
      <c r="J3" s="77"/>
      <c r="K3" s="99" t="s">
        <v>221</v>
      </c>
      <c r="L3" s="77"/>
      <c r="M3" s="77"/>
      <c r="N3" s="99" t="s">
        <v>100</v>
      </c>
      <c r="O3" s="334">
        <v>2020</v>
      </c>
      <c r="P3" s="77"/>
      <c r="Q3" s="412" t="s">
        <v>99</v>
      </c>
      <c r="R3" s="413">
        <v>2022</v>
      </c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7" ht="21.6" thickBot="1" x14ac:dyDescent="0.45">
      <c r="A4" s="70"/>
      <c r="B4" s="335"/>
      <c r="C4" s="335"/>
      <c r="D4" s="335"/>
      <c r="E4" s="70"/>
      <c r="F4" s="70"/>
      <c r="G4" s="71"/>
      <c r="H4" s="335"/>
      <c r="I4" s="70"/>
      <c r="J4" s="70"/>
      <c r="K4" s="77" t="s">
        <v>206</v>
      </c>
      <c r="L4" s="77"/>
      <c r="M4" s="77"/>
      <c r="N4" s="464" t="s">
        <v>248</v>
      </c>
      <c r="O4" s="77">
        <v>596</v>
      </c>
      <c r="P4" s="70"/>
      <c r="Q4" s="102"/>
      <c r="R4" s="102">
        <f>SUM('Sammanfattande resultat'!B15)</f>
        <v>0</v>
      </c>
    </row>
    <row r="5" spans="1:37" s="235" customFormat="1" ht="29.25" customHeight="1" thickBot="1" x14ac:dyDescent="0.35">
      <c r="A5" s="341"/>
      <c r="B5" s="336" t="s">
        <v>78</v>
      </c>
      <c r="C5" s="337"/>
      <c r="D5" s="338"/>
      <c r="E5" s="339">
        <v>2010</v>
      </c>
      <c r="F5" s="340"/>
      <c r="G5" s="341"/>
      <c r="H5" s="342" t="s">
        <v>210</v>
      </c>
      <c r="I5" s="339">
        <v>2010</v>
      </c>
      <c r="J5" s="341"/>
      <c r="K5" s="343" t="s">
        <v>0</v>
      </c>
      <c r="L5" s="344"/>
      <c r="M5" s="344"/>
      <c r="N5" s="345" t="s">
        <v>204</v>
      </c>
      <c r="O5" s="346" t="s">
        <v>205</v>
      </c>
      <c r="P5" s="341"/>
      <c r="Q5" s="244" t="s">
        <v>204</v>
      </c>
      <c r="R5" s="236" t="s">
        <v>205</v>
      </c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</row>
    <row r="6" spans="1:37" ht="18" customHeight="1" x14ac:dyDescent="0.3">
      <c r="A6" s="70"/>
      <c r="B6" s="347"/>
      <c r="C6" s="348"/>
      <c r="D6" s="349"/>
      <c r="E6" s="350"/>
      <c r="F6" s="141"/>
      <c r="G6" s="70"/>
      <c r="H6" s="351"/>
      <c r="I6" s="350"/>
      <c r="J6" s="70"/>
      <c r="K6" s="352" t="s">
        <v>197</v>
      </c>
      <c r="L6" s="353"/>
      <c r="M6" s="353"/>
      <c r="N6" s="354">
        <v>72451</v>
      </c>
      <c r="O6" s="355">
        <f>SUM(N6)/O4</f>
        <v>121.56208053691275</v>
      </c>
      <c r="P6" s="70"/>
      <c r="Q6" s="377">
        <f>SUM(R6)*R4</f>
        <v>0</v>
      </c>
      <c r="R6" s="272">
        <v>1</v>
      </c>
    </row>
    <row r="7" spans="1:37" x14ac:dyDescent="0.3">
      <c r="A7" s="70"/>
      <c r="B7" s="356" t="s">
        <v>71</v>
      </c>
      <c r="C7" s="357"/>
      <c r="D7" s="358"/>
      <c r="E7" s="359">
        <v>132</v>
      </c>
      <c r="F7" s="315"/>
      <c r="G7" s="70"/>
      <c r="H7" s="356" t="s">
        <v>71</v>
      </c>
      <c r="I7" s="359">
        <v>80</v>
      </c>
      <c r="J7" s="70"/>
      <c r="K7" s="360" t="s">
        <v>198</v>
      </c>
      <c r="L7" s="141"/>
      <c r="M7" s="141"/>
      <c r="N7" s="361">
        <v>15485</v>
      </c>
      <c r="O7" s="362">
        <f>SUM(N7)/O4</f>
        <v>25.981543624161073</v>
      </c>
      <c r="P7" s="70"/>
      <c r="Q7" s="361">
        <f>SUM(R7)*R4</f>
        <v>0</v>
      </c>
      <c r="R7" s="273">
        <v>1</v>
      </c>
    </row>
    <row r="8" spans="1:37" ht="16.5" customHeight="1" x14ac:dyDescent="0.3">
      <c r="A8" s="70"/>
      <c r="B8" s="363"/>
      <c r="C8" s="259"/>
      <c r="D8" s="358"/>
      <c r="E8" s="359"/>
      <c r="F8" s="315"/>
      <c r="G8" s="70"/>
      <c r="H8" s="363"/>
      <c r="I8" s="364"/>
      <c r="J8" s="70"/>
      <c r="K8" s="360" t="s">
        <v>199</v>
      </c>
      <c r="L8" s="141"/>
      <c r="M8" s="141"/>
      <c r="N8" s="361">
        <v>32052</v>
      </c>
      <c r="O8" s="362">
        <f>SUM(N8)/O4</f>
        <v>53.778523489932887</v>
      </c>
      <c r="P8" s="70"/>
      <c r="Q8" s="361">
        <f>SUM(R8)*R4</f>
        <v>0</v>
      </c>
      <c r="R8" s="273">
        <v>1</v>
      </c>
    </row>
    <row r="9" spans="1:37" x14ac:dyDescent="0.3">
      <c r="A9" s="70"/>
      <c r="B9" s="356" t="s">
        <v>23</v>
      </c>
      <c r="C9" s="357"/>
      <c r="D9" s="365"/>
      <c r="E9" s="366">
        <f>SUM(E10:E15)</f>
        <v>350</v>
      </c>
      <c r="F9" s="315"/>
      <c r="G9" s="70"/>
      <c r="H9" s="356" t="s">
        <v>23</v>
      </c>
      <c r="I9" s="367">
        <f>SUM(I10:I13)</f>
        <v>268</v>
      </c>
      <c r="J9" s="70"/>
      <c r="K9" s="360" t="s">
        <v>200</v>
      </c>
      <c r="L9" s="141"/>
      <c r="M9" s="368"/>
      <c r="N9" s="361">
        <f>129120</f>
        <v>129120</v>
      </c>
      <c r="O9" s="362">
        <v>166</v>
      </c>
      <c r="P9" s="70"/>
      <c r="Q9" s="361">
        <f>SUM(R9)*R4</f>
        <v>0</v>
      </c>
      <c r="R9" s="274">
        <v>1</v>
      </c>
    </row>
    <row r="10" spans="1:37" ht="15" thickBot="1" x14ac:dyDescent="0.35">
      <c r="A10" s="70"/>
      <c r="B10" s="369" t="s">
        <v>76</v>
      </c>
      <c r="C10" s="370"/>
      <c r="D10" s="371"/>
      <c r="E10" s="364">
        <v>102</v>
      </c>
      <c r="F10" s="141"/>
      <c r="G10" s="70"/>
      <c r="H10" s="369" t="s">
        <v>76</v>
      </c>
      <c r="I10" s="364">
        <v>87</v>
      </c>
      <c r="J10" s="70"/>
      <c r="K10" s="372" t="s">
        <v>308</v>
      </c>
      <c r="L10" s="373"/>
      <c r="M10" s="373"/>
      <c r="N10" s="664">
        <v>65000</v>
      </c>
      <c r="O10" s="375">
        <f>SUM(N10)/O4</f>
        <v>109.06040268456375</v>
      </c>
      <c r="P10" s="141"/>
      <c r="Q10" s="374">
        <f>SUM(R10)*R4</f>
        <v>0</v>
      </c>
      <c r="R10" s="275">
        <v>1</v>
      </c>
    </row>
    <row r="11" spans="1:37" ht="13.5" customHeight="1" x14ac:dyDescent="0.3">
      <c r="A11" s="70"/>
      <c r="B11" s="369" t="s">
        <v>72</v>
      </c>
      <c r="C11" s="370"/>
      <c r="D11" s="371"/>
      <c r="E11" s="364">
        <v>0</v>
      </c>
      <c r="F11" s="141"/>
      <c r="G11" s="70"/>
      <c r="H11" s="369"/>
      <c r="I11" s="364"/>
      <c r="J11" s="70"/>
      <c r="K11" s="376" t="s">
        <v>201</v>
      </c>
      <c r="L11" s="349"/>
      <c r="M11" s="349"/>
      <c r="N11" s="377">
        <v>13500</v>
      </c>
      <c r="O11" s="355">
        <f>SUM(N11)/O4</f>
        <v>22.651006711409394</v>
      </c>
      <c r="P11" s="141"/>
      <c r="Q11" s="377">
        <f>SUM(R11)*R4</f>
        <v>0</v>
      </c>
      <c r="R11" s="272">
        <v>1</v>
      </c>
    </row>
    <row r="12" spans="1:37" ht="15" customHeight="1" thickBot="1" x14ac:dyDescent="0.35">
      <c r="A12" s="70"/>
      <c r="B12" s="369" t="s">
        <v>73</v>
      </c>
      <c r="C12" s="370"/>
      <c r="D12" s="371"/>
      <c r="E12" s="364">
        <v>119</v>
      </c>
      <c r="F12" s="141"/>
      <c r="G12" s="70"/>
      <c r="H12" s="369" t="s">
        <v>73</v>
      </c>
      <c r="I12" s="364">
        <v>93</v>
      </c>
      <c r="J12" s="70"/>
      <c r="K12" s="372" t="s">
        <v>75</v>
      </c>
      <c r="L12" s="373"/>
      <c r="M12" s="373"/>
      <c r="N12" s="374">
        <v>5960</v>
      </c>
      <c r="O12" s="378">
        <f>SUM(N12)/O4</f>
        <v>10</v>
      </c>
      <c r="P12" s="141"/>
      <c r="Q12" s="374">
        <f>SUM(R12)*R4</f>
        <v>0</v>
      </c>
      <c r="R12" s="275">
        <v>1</v>
      </c>
    </row>
    <row r="13" spans="1:37" ht="15" thickBot="1" x14ac:dyDescent="0.35">
      <c r="A13" s="70"/>
      <c r="B13" s="369" t="s">
        <v>74</v>
      </c>
      <c r="C13" s="370"/>
      <c r="D13" s="371"/>
      <c r="E13" s="364">
        <v>86</v>
      </c>
      <c r="F13" s="141"/>
      <c r="G13" s="70"/>
      <c r="H13" s="369" t="s">
        <v>74</v>
      </c>
      <c r="I13" s="364">
        <v>88</v>
      </c>
      <c r="J13" s="70"/>
      <c r="K13" s="379" t="s">
        <v>202</v>
      </c>
      <c r="L13" s="380"/>
      <c r="M13" s="381">
        <v>2.5000000000000001E-2</v>
      </c>
      <c r="N13" s="382">
        <f>210678</f>
        <v>210678</v>
      </c>
      <c r="O13" s="383">
        <f>SUM(N13)/O4</f>
        <v>353.48657718120808</v>
      </c>
      <c r="P13" s="70"/>
      <c r="Q13" s="382">
        <f>SUM('Sammanfattande resultat'!F16)</f>
        <v>0</v>
      </c>
      <c r="R13" s="481" t="e">
        <f>SUM(Q13)/R4</f>
        <v>#DIV/0!</v>
      </c>
    </row>
    <row r="14" spans="1:37" ht="15" thickBot="1" x14ac:dyDescent="0.35">
      <c r="A14" s="70"/>
      <c r="B14" s="369" t="s">
        <v>67</v>
      </c>
      <c r="C14" s="370"/>
      <c r="D14" s="371"/>
      <c r="E14" s="364">
        <v>23</v>
      </c>
      <c r="F14" s="141"/>
      <c r="G14" s="70"/>
      <c r="H14" s="369" t="s">
        <v>67</v>
      </c>
      <c r="I14" s="364">
        <v>35</v>
      </c>
      <c r="J14" s="70"/>
      <c r="K14" s="360"/>
      <c r="L14" s="141"/>
      <c r="M14" s="141"/>
      <c r="N14" s="361"/>
      <c r="O14" s="362"/>
      <c r="P14" s="70"/>
      <c r="Q14" s="282"/>
      <c r="R14" s="283"/>
    </row>
    <row r="15" spans="1:37" ht="18.75" customHeight="1" x14ac:dyDescent="0.3">
      <c r="A15" s="70"/>
      <c r="B15" s="369" t="s">
        <v>75</v>
      </c>
      <c r="C15" s="259"/>
      <c r="D15" s="371"/>
      <c r="E15" s="364">
        <v>20</v>
      </c>
      <c r="F15" s="141"/>
      <c r="G15" s="70"/>
      <c r="H15" s="360"/>
      <c r="I15" s="364"/>
      <c r="J15" s="70"/>
      <c r="K15" s="290" t="s">
        <v>203</v>
      </c>
      <c r="L15" s="291"/>
      <c r="M15" s="291">
        <v>149719</v>
      </c>
      <c r="N15" s="384"/>
      <c r="O15" s="362"/>
      <c r="P15" s="70"/>
      <c r="Q15" s="478">
        <f>SUM('Sammanfattande resultat'!G16)</f>
        <v>0.2458181818181818</v>
      </c>
      <c r="R15" s="284"/>
    </row>
    <row r="16" spans="1:37" ht="15" thickBot="1" x14ac:dyDescent="0.35">
      <c r="A16" s="70"/>
      <c r="B16" s="363"/>
      <c r="C16" s="259"/>
      <c r="D16" s="371"/>
      <c r="E16" s="364"/>
      <c r="F16" s="141"/>
      <c r="G16" s="70"/>
      <c r="H16" s="363"/>
      <c r="I16" s="364"/>
      <c r="J16" s="70"/>
      <c r="K16" s="290" t="s">
        <v>47</v>
      </c>
      <c r="L16" s="291"/>
      <c r="M16" s="291">
        <v>198492</v>
      </c>
      <c r="N16" s="361"/>
      <c r="O16" s="362"/>
      <c r="P16" s="70"/>
      <c r="Q16" s="479">
        <f>SUM('Sammanfattande resultat'!H16)</f>
        <v>0.27039999999999997</v>
      </c>
      <c r="R16" s="285"/>
    </row>
    <row r="17" spans="1:37" s="193" customFormat="1" ht="18.600000000000001" thickBot="1" x14ac:dyDescent="0.4">
      <c r="A17" s="390"/>
      <c r="B17" s="385" t="s">
        <v>77</v>
      </c>
      <c r="C17" s="386"/>
      <c r="D17" s="387"/>
      <c r="E17" s="388">
        <f>SUM(E7:E9)</f>
        <v>482</v>
      </c>
      <c r="F17" s="389"/>
      <c r="G17" s="390"/>
      <c r="H17" s="385" t="s">
        <v>79</v>
      </c>
      <c r="I17" s="391">
        <f>SUM(I7:I9)</f>
        <v>348</v>
      </c>
      <c r="J17" s="390"/>
      <c r="K17" s="392" t="s">
        <v>77</v>
      </c>
      <c r="L17" s="393"/>
      <c r="M17" s="393"/>
      <c r="N17" s="394">
        <f>SUM(N6:N12)</f>
        <v>333568</v>
      </c>
      <c r="O17" s="395">
        <f>SUM(N17)/O4</f>
        <v>559.67785234899327</v>
      </c>
      <c r="P17" s="390"/>
      <c r="Q17" s="271">
        <f>SUM(Q6:Q12)</f>
        <v>0</v>
      </c>
      <c r="R17" s="480" t="e">
        <f>SUM(R6:R13)</f>
        <v>#DIV/0!</v>
      </c>
      <c r="S17" s="390"/>
      <c r="T17" s="408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0"/>
      <c r="AI17" s="390"/>
      <c r="AJ17" s="390"/>
      <c r="AK17" s="390"/>
    </row>
    <row r="18" spans="1:37" ht="16.2" thickBot="1" x14ac:dyDescent="0.35">
      <c r="A18" s="70"/>
      <c r="B18" s="396"/>
      <c r="C18" s="397"/>
      <c r="D18" s="398"/>
      <c r="E18" s="399"/>
      <c r="F18" s="141"/>
      <c r="G18" s="70"/>
      <c r="H18" s="396"/>
      <c r="I18" s="399"/>
      <c r="J18" s="70"/>
      <c r="K18" s="400" t="s">
        <v>207</v>
      </c>
      <c r="L18" s="401"/>
      <c r="M18" s="401"/>
      <c r="N18" s="400"/>
      <c r="O18" s="402">
        <f>SUM(O6:O10)</f>
        <v>476.3825503355705</v>
      </c>
      <c r="P18" s="403"/>
      <c r="Q18" s="281"/>
      <c r="R18" s="280">
        <f>SUM(R6:R10)</f>
        <v>5</v>
      </c>
    </row>
    <row r="19" spans="1:37" s="193" customFormat="1" ht="17.25" customHeight="1" thickBot="1" x14ac:dyDescent="0.4">
      <c r="A19" s="390"/>
      <c r="B19" s="404"/>
      <c r="C19" s="405"/>
      <c r="D19" s="406"/>
      <c r="E19" s="407"/>
      <c r="F19" s="408"/>
      <c r="G19" s="390"/>
      <c r="H19" s="409" t="s">
        <v>75</v>
      </c>
      <c r="I19" s="407">
        <v>20</v>
      </c>
      <c r="J19" s="390"/>
      <c r="K19" s="400" t="s">
        <v>226</v>
      </c>
      <c r="L19" s="401"/>
      <c r="M19" s="401"/>
      <c r="N19" s="401"/>
      <c r="O19" s="410"/>
      <c r="P19" s="403"/>
      <c r="Q19" s="281"/>
      <c r="R19" s="480">
        <f>SUM(R6:R12)</f>
        <v>7</v>
      </c>
      <c r="S19" s="390"/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</row>
    <row r="20" spans="1:37" ht="8.4" customHeight="1" x14ac:dyDescent="0.3">
      <c r="A20" s="70"/>
      <c r="C20" s="82"/>
      <c r="D20" s="82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102"/>
      <c r="R20" s="411"/>
    </row>
    <row r="21" spans="1:37" ht="15" thickBot="1" x14ac:dyDescent="0.35">
      <c r="A21" s="70"/>
      <c r="B21" s="82"/>
      <c r="C21" s="82"/>
      <c r="D21" s="82"/>
      <c r="E21" s="70"/>
      <c r="F21" s="70"/>
      <c r="G21" s="70"/>
      <c r="H21" s="70"/>
      <c r="I21" s="70"/>
      <c r="J21" s="70"/>
      <c r="K21" s="70"/>
      <c r="L21" s="71"/>
      <c r="M21" s="70"/>
      <c r="N21" s="70"/>
      <c r="O21" s="70"/>
      <c r="P21" s="70"/>
      <c r="Q21" s="102"/>
      <c r="R21" s="411"/>
    </row>
    <row r="22" spans="1:37" ht="36.6" customHeight="1" thickBot="1" x14ac:dyDescent="0.35">
      <c r="A22" s="70"/>
      <c r="B22" s="427" t="s">
        <v>87</v>
      </c>
      <c r="C22" s="112" t="s">
        <v>118</v>
      </c>
      <c r="D22" s="348" t="s">
        <v>119</v>
      </c>
      <c r="E22" s="419" t="s">
        <v>117</v>
      </c>
      <c r="F22" s="420" t="s">
        <v>300</v>
      </c>
      <c r="G22" s="70"/>
      <c r="H22" s="69" t="s">
        <v>291</v>
      </c>
      <c r="I22" s="553" t="s">
        <v>292</v>
      </c>
      <c r="J22" s="554" t="s">
        <v>293</v>
      </c>
      <c r="K22" s="554" t="s">
        <v>294</v>
      </c>
      <c r="L22" s="554" t="s">
        <v>295</v>
      </c>
      <c r="M22" s="555" t="s">
        <v>296</v>
      </c>
      <c r="N22" s="555" t="s">
        <v>297</v>
      </c>
      <c r="O22" s="554" t="s">
        <v>298</v>
      </c>
      <c r="P22" s="556" t="s">
        <v>299</v>
      </c>
      <c r="Q22" s="70"/>
      <c r="R22" s="70"/>
    </row>
    <row r="23" spans="1:37" ht="16.5" customHeight="1" x14ac:dyDescent="0.3">
      <c r="A23" s="70"/>
      <c r="B23" s="351" t="s">
        <v>116</v>
      </c>
      <c r="C23" s="428"/>
      <c r="D23" s="376"/>
      <c r="E23" s="419"/>
      <c r="F23" s="420"/>
      <c r="G23" s="70"/>
      <c r="H23" s="70"/>
      <c r="I23" s="557">
        <v>0</v>
      </c>
      <c r="J23" s="558">
        <f>SUM(C26)</f>
        <v>2.9499999999999998E-2</v>
      </c>
      <c r="K23" s="559">
        <v>0</v>
      </c>
      <c r="L23" s="560">
        <f>SUM(K23)</f>
        <v>0</v>
      </c>
      <c r="M23" s="561">
        <v>1</v>
      </c>
      <c r="N23" s="561">
        <v>0</v>
      </c>
      <c r="O23" s="560"/>
      <c r="P23" s="562"/>
      <c r="Q23" s="141"/>
      <c r="R23" s="141"/>
      <c r="S23" s="141"/>
      <c r="T23" s="141"/>
    </row>
    <row r="24" spans="1:37" x14ac:dyDescent="0.3">
      <c r="A24" s="70"/>
      <c r="B24" s="482">
        <f>SUM('Sammanfattande resultat'!D24)</f>
        <v>13.52</v>
      </c>
      <c r="C24" s="577">
        <v>5.0000000000000001E-3</v>
      </c>
      <c r="D24" s="581" t="s">
        <v>301</v>
      </c>
      <c r="E24" s="421"/>
      <c r="F24" s="422"/>
      <c r="G24" s="70"/>
      <c r="H24" s="411" t="s">
        <v>290</v>
      </c>
      <c r="I24" s="557">
        <v>1</v>
      </c>
      <c r="J24" s="558">
        <f>SUM(J23)</f>
        <v>2.9499999999999998E-2</v>
      </c>
      <c r="K24" s="559">
        <v>1</v>
      </c>
      <c r="L24" s="563">
        <f>SUM(K23:K24)/1000000</f>
        <v>9.9999999999999995E-7</v>
      </c>
      <c r="M24" s="561">
        <v>2</v>
      </c>
      <c r="N24" s="561">
        <v>15</v>
      </c>
      <c r="O24" s="560">
        <f t="shared" ref="O24:O33" si="0">360-((M24*30)+(30-N24))</f>
        <v>285</v>
      </c>
      <c r="P24" s="564">
        <f t="shared" ref="P24:P33" si="1">K24*(O24/360)*J24</f>
        <v>2.3354166666666665E-2</v>
      </c>
      <c r="Q24" s="142"/>
      <c r="R24" s="550"/>
      <c r="S24" s="141"/>
      <c r="T24" s="141"/>
    </row>
    <row r="25" spans="1:37" x14ac:dyDescent="0.3">
      <c r="A25" s="70"/>
      <c r="B25" s="363" t="s">
        <v>88</v>
      </c>
      <c r="C25" s="429"/>
      <c r="D25" s="360"/>
      <c r="E25" s="423"/>
      <c r="F25" s="424"/>
      <c r="G25" s="70"/>
      <c r="H25" s="411"/>
      <c r="I25" s="557">
        <v>2</v>
      </c>
      <c r="J25" s="558">
        <f t="shared" ref="J25:J33" si="2">SUM(J24)</f>
        <v>2.9499999999999998E-2</v>
      </c>
      <c r="K25" s="559">
        <v>1</v>
      </c>
      <c r="L25" s="563">
        <f>SUM(K23:K25)/1000000</f>
        <v>1.9999999999999999E-6</v>
      </c>
      <c r="M25" s="561">
        <v>3</v>
      </c>
      <c r="N25" s="561">
        <v>17</v>
      </c>
      <c r="O25" s="560">
        <f t="shared" si="0"/>
        <v>257</v>
      </c>
      <c r="P25" s="564">
        <f t="shared" si="1"/>
        <v>2.1059722222222223E-2</v>
      </c>
      <c r="Q25" s="142"/>
      <c r="R25" s="550"/>
      <c r="S25" s="551"/>
      <c r="T25" s="315"/>
    </row>
    <row r="26" spans="1:37" x14ac:dyDescent="0.3">
      <c r="A26" s="70"/>
      <c r="B26" s="363" t="s">
        <v>120</v>
      </c>
      <c r="C26" s="577">
        <v>2.9499999999999998E-2</v>
      </c>
      <c r="D26" s="578">
        <v>0</v>
      </c>
      <c r="E26" s="421">
        <f>SUM(B24)*C24/4</f>
        <v>1.6899999999999998E-2</v>
      </c>
      <c r="F26" s="424"/>
      <c r="G26" s="70"/>
      <c r="H26" s="411"/>
      <c r="I26" s="565">
        <v>3</v>
      </c>
      <c r="J26" s="558">
        <f t="shared" si="2"/>
        <v>2.9499999999999998E-2</v>
      </c>
      <c r="K26" s="559">
        <v>1</v>
      </c>
      <c r="L26" s="566">
        <f>SUM(K23:K26)/1000000</f>
        <v>3.0000000000000001E-6</v>
      </c>
      <c r="M26" s="567">
        <v>4</v>
      </c>
      <c r="N26" s="567">
        <v>12</v>
      </c>
      <c r="O26" s="19">
        <f t="shared" si="0"/>
        <v>222</v>
      </c>
      <c r="P26" s="568">
        <f t="shared" si="1"/>
        <v>1.8191666666666665E-2</v>
      </c>
      <c r="Q26" s="142"/>
      <c r="R26" s="142"/>
      <c r="S26" s="140"/>
      <c r="T26" s="140"/>
    </row>
    <row r="27" spans="1:37" x14ac:dyDescent="0.3">
      <c r="A27" s="70"/>
      <c r="B27" s="363" t="s">
        <v>121</v>
      </c>
      <c r="C27" s="575">
        <f>SUM(C26)</f>
        <v>2.9499999999999998E-2</v>
      </c>
      <c r="D27" s="579">
        <f>SUM(L25)</f>
        <v>1.9999999999999999E-6</v>
      </c>
      <c r="E27" s="421">
        <f>SUM(E26)</f>
        <v>1.6899999999999998E-2</v>
      </c>
      <c r="F27" s="422">
        <f>SUM(P23:P25)</f>
        <v>4.4413888888888892E-2</v>
      </c>
      <c r="G27" s="70"/>
      <c r="H27" s="411" t="s">
        <v>123</v>
      </c>
      <c r="I27" s="565">
        <v>4</v>
      </c>
      <c r="J27" s="558">
        <f t="shared" si="2"/>
        <v>2.9499999999999998E-2</v>
      </c>
      <c r="K27" s="559">
        <v>1</v>
      </c>
      <c r="L27" s="566">
        <f>SUM(K23:K27)/1000000</f>
        <v>3.9999999999999998E-6</v>
      </c>
      <c r="M27" s="567">
        <v>5</v>
      </c>
      <c r="N27" s="567">
        <v>19</v>
      </c>
      <c r="O27" s="19">
        <f t="shared" si="0"/>
        <v>199</v>
      </c>
      <c r="P27" s="568">
        <f t="shared" si="1"/>
        <v>1.6306944444444443E-2</v>
      </c>
      <c r="Q27" s="142"/>
      <c r="R27" s="257"/>
      <c r="S27" s="140"/>
      <c r="T27" s="140"/>
    </row>
    <row r="28" spans="1:37" x14ac:dyDescent="0.3">
      <c r="A28" s="70"/>
      <c r="B28" s="363" t="s">
        <v>123</v>
      </c>
      <c r="C28" s="575">
        <f t="shared" ref="C28:C30" si="3">SUM(C27)</f>
        <v>2.9499999999999998E-2</v>
      </c>
      <c r="D28" s="579">
        <f>SUM(L28)</f>
        <v>5.0000000000000004E-6</v>
      </c>
      <c r="E28" s="421">
        <f t="shared" ref="E28:E30" si="4">SUM(E27)</f>
        <v>1.6899999999999998E-2</v>
      </c>
      <c r="F28" s="422">
        <f>SUM(P26:P28)</f>
        <v>4.7937499999999994E-2</v>
      </c>
      <c r="G28" s="70"/>
      <c r="H28" s="411"/>
      <c r="I28" s="565">
        <v>5</v>
      </c>
      <c r="J28" s="558">
        <f t="shared" si="2"/>
        <v>2.9499999999999998E-2</v>
      </c>
      <c r="K28" s="559">
        <v>1</v>
      </c>
      <c r="L28" s="566">
        <f>SUM(K23:K28)/1000000</f>
        <v>5.0000000000000004E-6</v>
      </c>
      <c r="M28" s="567">
        <v>6</v>
      </c>
      <c r="N28" s="567">
        <v>14</v>
      </c>
      <c r="O28" s="19">
        <f t="shared" si="0"/>
        <v>164</v>
      </c>
      <c r="P28" s="568">
        <f t="shared" si="1"/>
        <v>1.3438888888888887E-2</v>
      </c>
      <c r="Q28" s="142"/>
      <c r="R28" s="142"/>
      <c r="S28" s="140"/>
      <c r="T28" s="140"/>
    </row>
    <row r="29" spans="1:37" x14ac:dyDescent="0.3">
      <c r="A29" s="70"/>
      <c r="B29" s="363" t="s">
        <v>124</v>
      </c>
      <c r="C29" s="575">
        <f t="shared" si="3"/>
        <v>2.9499999999999998E-2</v>
      </c>
      <c r="D29" s="579">
        <f>SUM(L31)</f>
        <v>7.9999999999999996E-6</v>
      </c>
      <c r="E29" s="421">
        <f t="shared" si="4"/>
        <v>1.6899999999999998E-2</v>
      </c>
      <c r="F29" s="422">
        <f>SUM(P29:P31)</f>
        <v>2.5566666666666665E-2</v>
      </c>
      <c r="G29" s="70"/>
      <c r="H29" s="411"/>
      <c r="I29" s="557">
        <v>6</v>
      </c>
      <c r="J29" s="558">
        <f t="shared" si="2"/>
        <v>2.9499999999999998E-2</v>
      </c>
      <c r="K29" s="559">
        <v>1</v>
      </c>
      <c r="L29" s="563">
        <f>SUM(K23:K29)/1000000</f>
        <v>6.0000000000000002E-6</v>
      </c>
      <c r="M29" s="561">
        <v>7</v>
      </c>
      <c r="N29" s="561">
        <v>17</v>
      </c>
      <c r="O29" s="560">
        <f t="shared" si="0"/>
        <v>137</v>
      </c>
      <c r="P29" s="564">
        <f t="shared" si="1"/>
        <v>1.1226388888888888E-2</v>
      </c>
      <c r="Q29" s="142"/>
      <c r="R29" s="552"/>
      <c r="S29" s="140"/>
      <c r="T29" s="140"/>
    </row>
    <row r="30" spans="1:37" ht="15" thickBot="1" x14ac:dyDescent="0.35">
      <c r="A30" s="70"/>
      <c r="B30" s="363" t="s">
        <v>122</v>
      </c>
      <c r="C30" s="576">
        <f t="shared" si="3"/>
        <v>2.9499999999999998E-2</v>
      </c>
      <c r="D30" s="580">
        <f>SUM(L33)</f>
        <v>1.0000000000000001E-5</v>
      </c>
      <c r="E30" s="421">
        <f t="shared" si="4"/>
        <v>1.6899999999999998E-2</v>
      </c>
      <c r="F30" s="422">
        <f>SUM(P32:P33)</f>
        <v>5.7361111111111102E-3</v>
      </c>
      <c r="G30" s="70"/>
      <c r="H30" s="411" t="s">
        <v>124</v>
      </c>
      <c r="I30" s="557">
        <v>7</v>
      </c>
      <c r="J30" s="558">
        <f t="shared" si="2"/>
        <v>2.9499999999999998E-2</v>
      </c>
      <c r="K30" s="559">
        <v>1</v>
      </c>
      <c r="L30" s="563">
        <f>SUM(K23:K30)/1000000</f>
        <v>6.9999999999999999E-6</v>
      </c>
      <c r="M30" s="561">
        <v>8</v>
      </c>
      <c r="N30" s="561">
        <v>9</v>
      </c>
      <c r="O30" s="560">
        <f t="shared" si="0"/>
        <v>99</v>
      </c>
      <c r="P30" s="564">
        <f t="shared" si="1"/>
        <v>8.1124999999999999E-3</v>
      </c>
      <c r="Q30" s="142"/>
      <c r="R30" s="552"/>
      <c r="S30" s="140"/>
      <c r="T30" s="141"/>
    </row>
    <row r="31" spans="1:37" ht="32.4" customHeight="1" thickBot="1" x14ac:dyDescent="0.35">
      <c r="A31" s="70"/>
      <c r="B31" s="195" t="s">
        <v>125</v>
      </c>
      <c r="C31" s="196">
        <f>SUM(E31:F31)</f>
        <v>0.20815416666666664</v>
      </c>
      <c r="D31" s="373"/>
      <c r="E31" s="425">
        <f>SUM(E24:E30)</f>
        <v>8.4499999999999992E-2</v>
      </c>
      <c r="F31" s="426">
        <f>SUM(F24:F30)</f>
        <v>0.12365416666666666</v>
      </c>
      <c r="G31" s="70"/>
      <c r="H31" s="411"/>
      <c r="I31" s="557">
        <v>8</v>
      </c>
      <c r="J31" s="558">
        <f t="shared" si="2"/>
        <v>2.9499999999999998E-2</v>
      </c>
      <c r="K31" s="559">
        <v>1</v>
      </c>
      <c r="L31" s="563">
        <f>SUM(K23:K31)/1000000</f>
        <v>7.9999999999999996E-6</v>
      </c>
      <c r="M31" s="561">
        <v>9</v>
      </c>
      <c r="N31" s="561">
        <v>16</v>
      </c>
      <c r="O31" s="560">
        <f t="shared" si="0"/>
        <v>76</v>
      </c>
      <c r="P31" s="564">
        <f t="shared" si="1"/>
        <v>6.2277777777777774E-3</v>
      </c>
      <c r="Q31" s="140"/>
      <c r="R31" s="140"/>
      <c r="S31" s="140"/>
      <c r="T31" s="141"/>
    </row>
    <row r="32" spans="1:37" s="70" customFormat="1" ht="15" thickBot="1" x14ac:dyDescent="0.35">
      <c r="B32" s="430" t="s">
        <v>126</v>
      </c>
      <c r="C32" s="431"/>
      <c r="H32" s="411"/>
      <c r="I32" s="565">
        <v>9</v>
      </c>
      <c r="J32" s="558">
        <f t="shared" si="2"/>
        <v>2.9499999999999998E-2</v>
      </c>
      <c r="K32" s="559">
        <v>1</v>
      </c>
      <c r="L32" s="566">
        <f>SUM(K23:K32)/1000000</f>
        <v>9.0000000000000002E-6</v>
      </c>
      <c r="M32" s="567">
        <v>10</v>
      </c>
      <c r="N32" s="567">
        <v>11</v>
      </c>
      <c r="O32" s="19">
        <f t="shared" si="0"/>
        <v>41</v>
      </c>
      <c r="P32" s="568">
        <f t="shared" si="1"/>
        <v>3.3597222222222218E-3</v>
      </c>
      <c r="Q32" s="142"/>
      <c r="R32" s="550"/>
      <c r="S32" s="141"/>
      <c r="T32" s="141"/>
    </row>
    <row r="33" spans="1:27" s="70" customFormat="1" x14ac:dyDescent="0.3">
      <c r="B33" s="82"/>
      <c r="H33" s="411" t="s">
        <v>122</v>
      </c>
      <c r="I33" s="565">
        <v>10</v>
      </c>
      <c r="J33" s="558">
        <f t="shared" si="2"/>
        <v>2.9499999999999998E-2</v>
      </c>
      <c r="K33" s="559">
        <v>1</v>
      </c>
      <c r="L33" s="566">
        <f>SUM(K23:K33)/1000000</f>
        <v>1.0000000000000001E-5</v>
      </c>
      <c r="M33" s="567">
        <v>11</v>
      </c>
      <c r="N33" s="567">
        <v>29</v>
      </c>
      <c r="O33" s="19">
        <f t="shared" si="0"/>
        <v>29</v>
      </c>
      <c r="P33" s="568">
        <f t="shared" si="1"/>
        <v>2.3763888888888888E-3</v>
      </c>
      <c r="Q33" s="142"/>
      <c r="R33" s="550"/>
      <c r="S33" s="141"/>
      <c r="T33" s="141"/>
    </row>
    <row r="34" spans="1:27" s="70" customFormat="1" ht="15" thickBot="1" x14ac:dyDescent="0.35">
      <c r="I34" s="569"/>
      <c r="J34" s="570" t="s">
        <v>77</v>
      </c>
      <c r="K34" s="571">
        <f>SUM(K23:K33)</f>
        <v>10</v>
      </c>
      <c r="L34" s="572">
        <f>SUM(L33)</f>
        <v>1.0000000000000001E-5</v>
      </c>
      <c r="M34" s="573"/>
      <c r="N34" s="573"/>
      <c r="O34" s="573"/>
      <c r="P34" s="574">
        <f>SUM(P24:P33)</f>
        <v>0.12365416666666665</v>
      </c>
      <c r="Q34" s="142"/>
      <c r="R34" s="550"/>
      <c r="S34" s="141"/>
      <c r="T34" s="141"/>
    </row>
    <row r="35" spans="1:27" x14ac:dyDescent="0.3">
      <c r="A35" s="70"/>
      <c r="B35" s="523"/>
      <c r="C35" s="524"/>
      <c r="D35" s="524"/>
      <c r="E35" s="525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102"/>
      <c r="R35" s="411"/>
    </row>
    <row r="36" spans="1:27" ht="25.8" x14ac:dyDescent="0.5">
      <c r="A36" s="70"/>
      <c r="B36" s="527" t="s">
        <v>278</v>
      </c>
      <c r="C36" s="528"/>
      <c r="D36" s="528"/>
      <c r="E36" s="529"/>
      <c r="F36" s="70"/>
      <c r="G36" s="70"/>
      <c r="H36" s="70"/>
      <c r="I36" s="70"/>
      <c r="J36" s="91"/>
      <c r="K36" s="70"/>
      <c r="L36" s="70"/>
      <c r="M36" s="70"/>
      <c r="N36" s="70"/>
      <c r="O36" s="70"/>
      <c r="P36" s="70"/>
      <c r="Q36" s="102"/>
      <c r="R36" s="411"/>
    </row>
    <row r="37" spans="1:27" ht="15" customHeight="1" x14ac:dyDescent="0.35">
      <c r="A37" s="70"/>
      <c r="B37" s="530"/>
      <c r="C37" s="531"/>
      <c r="D37" s="532"/>
      <c r="E37" s="533"/>
      <c r="F37" s="70"/>
      <c r="G37" s="70"/>
      <c r="H37" s="75" t="s">
        <v>96</v>
      </c>
      <c r="I37" s="75"/>
      <c r="J37" s="71"/>
      <c r="K37" s="70"/>
      <c r="L37" s="70"/>
      <c r="M37" s="70"/>
      <c r="N37" s="70"/>
      <c r="O37" s="70"/>
      <c r="P37" s="70"/>
      <c r="Q37" s="102"/>
      <c r="R37" s="411"/>
    </row>
    <row r="38" spans="1:27" x14ac:dyDescent="0.3">
      <c r="A38" s="70"/>
      <c r="B38" s="534" t="s">
        <v>279</v>
      </c>
      <c r="C38" s="532"/>
      <c r="D38" s="532"/>
      <c r="E38" s="533"/>
      <c r="F38" s="70"/>
      <c r="G38" s="70"/>
      <c r="H38" s="123" t="s">
        <v>242</v>
      </c>
      <c r="I38" s="71"/>
      <c r="J38" s="417"/>
      <c r="K38" s="70"/>
      <c r="L38" s="70"/>
      <c r="M38" s="70"/>
      <c r="N38" s="70"/>
      <c r="O38" s="70"/>
      <c r="P38" s="70"/>
      <c r="Q38" s="102"/>
      <c r="R38" s="411"/>
    </row>
    <row r="39" spans="1:27" x14ac:dyDescent="0.3">
      <c r="A39" s="70"/>
      <c r="B39" s="535" t="s">
        <v>280</v>
      </c>
      <c r="C39" s="532"/>
      <c r="D39" s="536"/>
      <c r="E39" s="533"/>
      <c r="F39" s="70"/>
      <c r="G39" s="70"/>
      <c r="H39" s="278" t="e">
        <f>SUM('Sammanfattande resultat'!D24)/'Sammanfattande resultat'!B15</f>
        <v>#DIV/0!</v>
      </c>
      <c r="I39" s="71"/>
      <c r="J39" s="70"/>
      <c r="K39" s="70"/>
      <c r="L39" s="70"/>
      <c r="M39" s="70"/>
      <c r="N39" s="70"/>
      <c r="O39" s="70"/>
      <c r="P39" s="70"/>
      <c r="Q39" s="102"/>
      <c r="R39" s="411"/>
    </row>
    <row r="40" spans="1:27" ht="18" x14ac:dyDescent="0.35">
      <c r="A40" s="70"/>
      <c r="B40" s="535" t="s">
        <v>281</v>
      </c>
      <c r="C40" s="532"/>
      <c r="D40" s="536"/>
      <c r="E40" s="533"/>
      <c r="F40" s="70"/>
      <c r="G40" s="70"/>
      <c r="H40" s="75" t="s">
        <v>238</v>
      </c>
      <c r="I40" s="70"/>
      <c r="J40" s="70"/>
      <c r="K40" s="70"/>
      <c r="L40" s="70"/>
      <c r="M40" s="70"/>
      <c r="N40" s="70"/>
      <c r="O40" s="70"/>
      <c r="P40" s="70"/>
      <c r="Q40" s="102"/>
      <c r="R40" s="411"/>
    </row>
    <row r="41" spans="1:27" x14ac:dyDescent="0.3">
      <c r="A41" s="70"/>
      <c r="B41" s="535"/>
      <c r="C41" s="532"/>
      <c r="D41" s="536"/>
      <c r="E41" s="533"/>
      <c r="F41" s="70"/>
      <c r="G41" s="70"/>
      <c r="H41" s="123" t="s">
        <v>242</v>
      </c>
      <c r="I41" s="70"/>
      <c r="J41" s="70"/>
      <c r="K41" s="70"/>
      <c r="L41" s="70"/>
      <c r="M41" s="70"/>
      <c r="N41" s="70"/>
      <c r="O41" s="70"/>
      <c r="P41" s="70"/>
      <c r="Q41" s="102"/>
      <c r="R41" s="411"/>
    </row>
    <row r="42" spans="1:27" x14ac:dyDescent="0.3">
      <c r="A42" s="70"/>
      <c r="B42" s="537" t="s">
        <v>282</v>
      </c>
      <c r="C42" s="532"/>
      <c r="D42" s="536"/>
      <c r="E42" s="533"/>
      <c r="F42" s="70"/>
      <c r="G42" s="70"/>
      <c r="H42" s="278" t="e">
        <f>SUM('Sammanfattande resultat'!D26)/'Sammanfattande resultat'!B15</f>
        <v>#DIV/0!</v>
      </c>
      <c r="I42" s="70"/>
      <c r="J42" s="418"/>
      <c r="K42" s="70"/>
      <c r="L42" s="70"/>
      <c r="M42" s="70"/>
      <c r="N42" s="70"/>
      <c r="O42" s="70"/>
      <c r="P42" s="70"/>
      <c r="Q42" s="102"/>
      <c r="R42" s="411"/>
    </row>
    <row r="43" spans="1:27" x14ac:dyDescent="0.3">
      <c r="A43" s="70"/>
      <c r="B43" s="535" t="s">
        <v>283</v>
      </c>
      <c r="C43" s="633">
        <v>1</v>
      </c>
      <c r="D43" s="538"/>
      <c r="E43" s="533"/>
      <c r="F43" s="70"/>
      <c r="G43" s="70"/>
      <c r="H43" s="70"/>
      <c r="I43" s="70"/>
      <c r="J43" s="141"/>
      <c r="K43" s="70"/>
      <c r="L43" s="70"/>
      <c r="M43" s="70"/>
      <c r="N43" s="70"/>
      <c r="O43" s="70"/>
      <c r="P43" s="70"/>
      <c r="Q43" s="102"/>
      <c r="R43" s="411"/>
      <c r="Z43" s="102"/>
      <c r="AA43" s="411"/>
    </row>
    <row r="44" spans="1:27" x14ac:dyDescent="0.3">
      <c r="A44" s="70"/>
      <c r="B44" s="636"/>
      <c r="C44" s="637"/>
      <c r="D44" s="539"/>
      <c r="E44" s="533"/>
      <c r="F44" s="70"/>
      <c r="G44" s="70"/>
      <c r="H44" s="70"/>
      <c r="I44" s="70"/>
      <c r="J44" s="315"/>
      <c r="K44" s="70"/>
      <c r="L44" s="70"/>
      <c r="M44" s="70"/>
      <c r="N44" s="70"/>
      <c r="O44" s="70"/>
      <c r="P44" s="70"/>
      <c r="Q44" s="102"/>
      <c r="R44" s="411"/>
      <c r="Z44" s="102"/>
      <c r="AA44" s="411"/>
    </row>
    <row r="45" spans="1:27" x14ac:dyDescent="0.3">
      <c r="A45" s="70"/>
      <c r="B45" s="534" t="s">
        <v>284</v>
      </c>
      <c r="C45" s="633">
        <v>1</v>
      </c>
      <c r="D45" s="539"/>
      <c r="E45" s="533"/>
      <c r="F45" s="70"/>
      <c r="G45" s="70"/>
      <c r="H45" s="70"/>
      <c r="I45" s="70"/>
      <c r="J45" s="257"/>
      <c r="K45" s="70"/>
      <c r="L45" s="70"/>
      <c r="M45" s="70"/>
      <c r="N45" s="70"/>
      <c r="O45" s="70"/>
      <c r="P45" s="70"/>
      <c r="Q45" s="102"/>
      <c r="R45" s="411"/>
    </row>
    <row r="46" spans="1:27" ht="15.6" x14ac:dyDescent="0.3">
      <c r="A46" s="70"/>
      <c r="B46" s="636"/>
      <c r="C46" s="637"/>
      <c r="D46" s="539"/>
      <c r="E46" s="533"/>
      <c r="F46" s="70"/>
      <c r="G46" s="70"/>
      <c r="H46" s="89" t="s">
        <v>240</v>
      </c>
      <c r="I46" s="70"/>
      <c r="J46" s="140"/>
      <c r="K46" s="70"/>
      <c r="L46" s="70"/>
      <c r="M46" s="70"/>
      <c r="N46" s="70"/>
      <c r="O46" s="70"/>
      <c r="P46" s="70"/>
      <c r="Q46" s="102"/>
      <c r="R46" s="411"/>
    </row>
    <row r="47" spans="1:27" x14ac:dyDescent="0.3">
      <c r="A47" s="70"/>
      <c r="B47" s="634" t="s">
        <v>285</v>
      </c>
      <c r="C47" s="635">
        <f>SUM(C43)*C45</f>
        <v>1</v>
      </c>
      <c r="D47" s="541"/>
      <c r="E47" s="542"/>
      <c r="F47" s="70"/>
      <c r="G47" s="70"/>
      <c r="H47" s="416" t="s">
        <v>241</v>
      </c>
      <c r="I47" s="71"/>
      <c r="J47" s="257"/>
      <c r="K47" s="70"/>
      <c r="L47" s="70"/>
      <c r="M47" s="70"/>
      <c r="N47" s="70"/>
      <c r="O47" s="70"/>
      <c r="P47" s="70"/>
      <c r="Q47" s="102"/>
      <c r="R47" s="411"/>
    </row>
    <row r="48" spans="1:27" x14ac:dyDescent="0.3">
      <c r="A48" s="70"/>
      <c r="B48" s="540"/>
      <c r="C48" s="541"/>
      <c r="D48" s="541"/>
      <c r="E48" s="542"/>
      <c r="F48" s="70"/>
      <c r="G48" s="70"/>
      <c r="H48" t="s">
        <v>239</v>
      </c>
      <c r="I48" s="70"/>
      <c r="J48" s="257"/>
      <c r="K48" s="70"/>
      <c r="L48" s="70"/>
      <c r="M48" s="70"/>
      <c r="N48" s="70"/>
      <c r="O48" s="70"/>
      <c r="P48" s="70"/>
      <c r="Q48" s="102"/>
      <c r="R48" s="411"/>
    </row>
    <row r="49" spans="1:18" x14ac:dyDescent="0.3">
      <c r="A49" s="70"/>
      <c r="B49" s="526"/>
      <c r="C49" s="524"/>
      <c r="D49" s="526"/>
      <c r="E49" s="525"/>
      <c r="F49" s="70"/>
      <c r="G49" s="70"/>
      <c r="H49" s="279">
        <f>SUM('Sammanfattande resultat'!B15)*22000/1000</f>
        <v>0</v>
      </c>
      <c r="I49" s="70"/>
      <c r="J49" s="141"/>
      <c r="K49" s="70"/>
      <c r="L49" s="70"/>
      <c r="M49" s="70"/>
      <c r="N49" s="70"/>
      <c r="O49" s="70"/>
      <c r="P49" s="70"/>
      <c r="Q49" s="102"/>
      <c r="R49" s="411"/>
    </row>
    <row r="50" spans="1:18" x14ac:dyDescent="0.3">
      <c r="A50" s="70"/>
      <c r="B50" s="70"/>
      <c r="C50" s="70"/>
      <c r="D50" s="70"/>
      <c r="E50" s="70"/>
      <c r="F50" s="70"/>
      <c r="G50" s="70"/>
      <c r="H50" s="70"/>
      <c r="I50" s="70"/>
      <c r="J50" s="508"/>
      <c r="K50" s="125"/>
      <c r="L50" s="70"/>
      <c r="M50" s="70"/>
      <c r="N50" s="70"/>
      <c r="O50" s="70"/>
      <c r="P50" s="70"/>
      <c r="Q50" s="102"/>
      <c r="R50" s="411"/>
    </row>
    <row r="51" spans="1:18" ht="15" thickBot="1" x14ac:dyDescent="0.35">
      <c r="A51" s="70"/>
      <c r="B51" s="524"/>
      <c r="C51" s="524"/>
      <c r="D51" s="524"/>
      <c r="E51" s="525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102"/>
      <c r="R51" s="411"/>
    </row>
    <row r="52" spans="1:18" x14ac:dyDescent="0.3">
      <c r="A52" s="70"/>
      <c r="B52" s="414"/>
      <c r="C52" s="349"/>
      <c r="D52" s="349"/>
      <c r="E52" s="349"/>
      <c r="F52" s="349"/>
      <c r="G52" s="350"/>
      <c r="H52" s="70"/>
      <c r="I52" s="70"/>
      <c r="J52" s="70"/>
      <c r="K52" s="70"/>
      <c r="L52" s="70"/>
      <c r="M52" s="70"/>
      <c r="N52" s="70"/>
      <c r="O52" s="70"/>
      <c r="P52" s="70"/>
      <c r="Q52" s="102"/>
      <c r="R52" s="411"/>
    </row>
    <row r="53" spans="1:18" ht="18" x14ac:dyDescent="0.35">
      <c r="A53" s="70"/>
      <c r="B53" s="415" t="s">
        <v>244</v>
      </c>
      <c r="C53" s="141"/>
      <c r="D53" s="141"/>
      <c r="E53" s="141"/>
      <c r="F53" s="141"/>
      <c r="G53" s="364"/>
      <c r="H53" s="70"/>
      <c r="I53" s="70"/>
      <c r="J53" s="70"/>
      <c r="K53" s="70"/>
      <c r="L53" s="70"/>
      <c r="M53" s="70"/>
      <c r="N53" s="70"/>
      <c r="O53" s="70"/>
      <c r="P53" s="70"/>
      <c r="Q53" s="102"/>
      <c r="R53" s="411"/>
    </row>
    <row r="54" spans="1:18" x14ac:dyDescent="0.3">
      <c r="A54" s="70"/>
      <c r="B54" s="672" t="s">
        <v>243</v>
      </c>
      <c r="C54" s="673"/>
      <c r="D54" s="673"/>
      <c r="E54" s="136"/>
      <c r="F54" s="136"/>
      <c r="G54" s="191"/>
      <c r="H54" s="70"/>
      <c r="I54" s="70"/>
      <c r="J54" s="70"/>
      <c r="K54" s="70"/>
      <c r="L54" s="70"/>
      <c r="M54" s="70"/>
      <c r="N54" s="70"/>
      <c r="O54" s="70"/>
      <c r="P54" s="70"/>
      <c r="Q54" s="102"/>
      <c r="R54" s="411"/>
    </row>
    <row r="55" spans="1:18" x14ac:dyDescent="0.3">
      <c r="A55" s="70"/>
      <c r="B55" s="674"/>
      <c r="C55" s="673"/>
      <c r="D55" s="673"/>
      <c r="E55" s="136"/>
      <c r="F55" s="136"/>
      <c r="G55" s="191"/>
      <c r="H55" s="70"/>
      <c r="I55" s="70"/>
      <c r="J55" s="70"/>
      <c r="K55" s="70"/>
      <c r="L55" s="70"/>
      <c r="M55" s="70"/>
      <c r="N55" s="70"/>
      <c r="O55" s="70"/>
      <c r="P55" s="70"/>
      <c r="Q55" s="102"/>
      <c r="R55" s="411"/>
    </row>
    <row r="56" spans="1:18" x14ac:dyDescent="0.3">
      <c r="A56" s="70"/>
      <c r="B56" s="675"/>
      <c r="C56" s="676"/>
      <c r="D56" s="676"/>
      <c r="E56" s="136"/>
      <c r="F56" s="136"/>
      <c r="G56" s="191"/>
      <c r="H56" s="70"/>
      <c r="I56" s="70"/>
      <c r="J56" s="70"/>
      <c r="K56" s="70"/>
      <c r="L56" s="70"/>
      <c r="M56" s="70"/>
      <c r="N56" s="70"/>
      <c r="O56" s="70"/>
      <c r="P56" s="70"/>
      <c r="Q56" s="102"/>
      <c r="R56" s="411"/>
    </row>
    <row r="57" spans="1:18" x14ac:dyDescent="0.3">
      <c r="A57" s="70"/>
      <c r="B57" s="264" t="s">
        <v>213</v>
      </c>
      <c r="C57" s="265"/>
      <c r="D57" s="136">
        <v>4.25</v>
      </c>
      <c r="E57" s="136"/>
      <c r="F57" s="136"/>
      <c r="G57" s="191"/>
      <c r="H57" s="70"/>
      <c r="I57" s="70"/>
      <c r="J57" s="70"/>
      <c r="K57" s="70"/>
      <c r="L57" s="70"/>
      <c r="M57" s="70"/>
      <c r="N57" s="70"/>
      <c r="O57" s="70"/>
      <c r="P57" s="70"/>
      <c r="Q57" s="102"/>
      <c r="R57" s="411"/>
    </row>
    <row r="58" spans="1:18" x14ac:dyDescent="0.3">
      <c r="A58" s="70"/>
      <c r="B58" s="264" t="s">
        <v>214</v>
      </c>
      <c r="C58" s="265"/>
      <c r="D58" s="266">
        <v>6</v>
      </c>
      <c r="E58" s="136"/>
      <c r="F58" s="136"/>
      <c r="G58" s="191"/>
      <c r="H58" s="70"/>
      <c r="I58" s="70"/>
      <c r="J58" s="70"/>
      <c r="K58" s="70"/>
      <c r="L58" s="70"/>
      <c r="M58" s="70"/>
      <c r="N58" s="70"/>
      <c r="O58" s="70"/>
      <c r="P58" s="70"/>
      <c r="Q58" s="102"/>
      <c r="R58" s="411"/>
    </row>
    <row r="59" spans="1:18" x14ac:dyDescent="0.3">
      <c r="A59" s="70"/>
      <c r="B59" s="264" t="s">
        <v>215</v>
      </c>
      <c r="C59" s="265"/>
      <c r="D59" s="266">
        <v>7.7</v>
      </c>
      <c r="E59" s="136"/>
      <c r="F59" s="136"/>
      <c r="G59" s="191"/>
      <c r="H59" s="70"/>
      <c r="I59" s="70"/>
      <c r="J59" s="70"/>
      <c r="K59" s="70"/>
      <c r="L59" s="70"/>
      <c r="M59" s="70"/>
      <c r="N59" s="70"/>
      <c r="O59" s="70"/>
      <c r="P59" s="70"/>
      <c r="Q59" s="102"/>
      <c r="R59" s="411"/>
    </row>
    <row r="60" spans="1:18" x14ac:dyDescent="0.3">
      <c r="A60" s="70"/>
      <c r="B60" s="495" t="s">
        <v>216</v>
      </c>
      <c r="C60" s="496"/>
      <c r="D60" s="34">
        <v>9.5</v>
      </c>
      <c r="E60" s="136"/>
      <c r="F60" s="136"/>
      <c r="G60" s="191"/>
      <c r="H60" s="70"/>
      <c r="I60" s="70"/>
      <c r="J60" s="70"/>
      <c r="K60" s="70"/>
      <c r="L60" s="70"/>
      <c r="M60" s="70"/>
      <c r="N60" s="70"/>
      <c r="O60" s="70"/>
      <c r="P60" s="70"/>
      <c r="Q60" s="102"/>
      <c r="R60" s="411"/>
    </row>
    <row r="61" spans="1:18" x14ac:dyDescent="0.3">
      <c r="A61" s="70"/>
      <c r="B61" s="492"/>
      <c r="C61" s="493"/>
      <c r="D61" s="141"/>
      <c r="E61" s="136"/>
      <c r="F61" s="136"/>
      <c r="G61" s="191"/>
      <c r="H61" s="70"/>
      <c r="I61" s="70"/>
      <c r="J61" s="70"/>
      <c r="K61" s="70"/>
      <c r="L61" s="70"/>
      <c r="M61" s="70"/>
      <c r="N61" s="70"/>
      <c r="O61" s="70"/>
      <c r="P61" s="70"/>
      <c r="Q61" s="102"/>
      <c r="R61" s="411"/>
    </row>
    <row r="62" spans="1:18" x14ac:dyDescent="0.3">
      <c r="A62" s="70"/>
      <c r="B62" s="494"/>
      <c r="C62" s="493"/>
      <c r="D62" s="141"/>
      <c r="E62" s="141"/>
      <c r="F62" s="141"/>
      <c r="G62" s="191"/>
      <c r="H62" s="70"/>
      <c r="I62" s="70"/>
      <c r="J62" s="70"/>
      <c r="K62" s="70"/>
      <c r="L62" s="70"/>
      <c r="M62" s="70"/>
      <c r="N62" s="70"/>
      <c r="O62" s="70"/>
      <c r="P62" s="70"/>
      <c r="Q62" s="102"/>
      <c r="R62" s="411"/>
    </row>
    <row r="63" spans="1:18" ht="15" thickBot="1" x14ac:dyDescent="0.35">
      <c r="A63" s="70"/>
      <c r="B63" s="372"/>
      <c r="C63" s="491"/>
      <c r="D63" s="491"/>
      <c r="E63" s="491"/>
      <c r="F63" s="491"/>
      <c r="G63" s="192"/>
      <c r="H63" s="70"/>
      <c r="I63" s="70"/>
      <c r="J63" s="70"/>
      <c r="K63" s="70"/>
      <c r="L63" s="70"/>
      <c r="M63" s="70"/>
      <c r="N63" s="70"/>
      <c r="O63" s="70"/>
      <c r="P63" s="70"/>
      <c r="Q63" s="102"/>
      <c r="R63" s="411"/>
    </row>
    <row r="64" spans="1:18" x14ac:dyDescent="0.3">
      <c r="A64" s="70"/>
      <c r="B64" s="435"/>
      <c r="C64" s="435"/>
      <c r="D64" s="435"/>
      <c r="E64" s="436"/>
      <c r="F64" s="436"/>
      <c r="G64" s="436"/>
      <c r="H64" s="432"/>
      <c r="I64" s="70"/>
      <c r="J64" s="70"/>
      <c r="K64" s="70"/>
      <c r="L64" s="70"/>
      <c r="M64" s="70"/>
      <c r="N64" s="70"/>
      <c r="O64" s="70"/>
      <c r="P64" s="70"/>
      <c r="Q64" s="102"/>
      <c r="R64" s="411"/>
    </row>
    <row r="65" spans="1:18" s="70" customFormat="1" ht="23.4" customHeight="1" x14ac:dyDescent="0.3">
      <c r="A65" s="509"/>
      <c r="B65" s="435"/>
      <c r="C65" s="435"/>
      <c r="D65" s="435"/>
      <c r="E65" s="436"/>
      <c r="F65" s="436"/>
      <c r="G65" s="436"/>
      <c r="H65" s="432"/>
      <c r="I65" s="509"/>
      <c r="J65" s="509"/>
      <c r="K65" s="509"/>
      <c r="L65" s="509"/>
      <c r="M65" s="509"/>
      <c r="N65" s="509"/>
      <c r="O65" s="509"/>
      <c r="P65" s="509"/>
      <c r="Q65" s="510"/>
      <c r="R65" s="511"/>
    </row>
    <row r="66" spans="1:18" s="70" customFormat="1" x14ac:dyDescent="0.3">
      <c r="A66" s="509"/>
      <c r="B66" s="509"/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510"/>
      <c r="R66" s="511"/>
    </row>
    <row r="67" spans="1:18" s="70" customFormat="1" x14ac:dyDescent="0.3">
      <c r="Q67" s="102"/>
      <c r="R67" s="411"/>
    </row>
    <row r="68" spans="1:18" s="70" customFormat="1" x14ac:dyDescent="0.3">
      <c r="Q68" s="102"/>
      <c r="R68" s="411"/>
    </row>
    <row r="69" spans="1:18" s="70" customFormat="1" x14ac:dyDescent="0.3">
      <c r="Q69" s="102"/>
      <c r="R69" s="411"/>
    </row>
    <row r="70" spans="1:18" s="70" customFormat="1" x14ac:dyDescent="0.3">
      <c r="Q70" s="102"/>
      <c r="R70" s="411"/>
    </row>
    <row r="71" spans="1:18" s="70" customFormat="1" x14ac:dyDescent="0.3">
      <c r="Q71" s="102"/>
      <c r="R71" s="411"/>
    </row>
    <row r="72" spans="1:18" s="70" customFormat="1" x14ac:dyDescent="0.3">
      <c r="Q72" s="102"/>
      <c r="R72" s="411"/>
    </row>
    <row r="73" spans="1:18" s="70" customFormat="1" x14ac:dyDescent="0.3">
      <c r="Q73" s="102"/>
      <c r="R73" s="411"/>
    </row>
    <row r="74" spans="1:18" s="70" customFormat="1" x14ac:dyDescent="0.3">
      <c r="Q74" s="102"/>
      <c r="R74" s="411"/>
    </row>
    <row r="75" spans="1:18" s="70" customFormat="1" x14ac:dyDescent="0.3">
      <c r="Q75" s="102"/>
      <c r="R75" s="411"/>
    </row>
    <row r="76" spans="1:18" s="70" customFormat="1" x14ac:dyDescent="0.3">
      <c r="Q76" s="102"/>
      <c r="R76" s="411"/>
    </row>
    <row r="77" spans="1:18" s="82" customFormat="1" x14ac:dyDescent="0.3">
      <c r="B77" s="70"/>
      <c r="C77" s="70"/>
      <c r="D77" s="70"/>
      <c r="E77" s="70"/>
      <c r="F77" s="70"/>
      <c r="G77" s="70"/>
      <c r="H77" s="70"/>
      <c r="I77" s="70"/>
      <c r="Q77" s="584"/>
      <c r="R77" s="585"/>
    </row>
    <row r="78" spans="1:18" s="70" customFormat="1" x14ac:dyDescent="0.3">
      <c r="Q78" s="102"/>
      <c r="R78" s="411"/>
    </row>
    <row r="79" spans="1:18" s="70" customFormat="1" x14ac:dyDescent="0.3">
      <c r="Q79" s="102"/>
      <c r="R79" s="411"/>
    </row>
    <row r="80" spans="1:18" s="70" customFormat="1" x14ac:dyDescent="0.3">
      <c r="Q80" s="102"/>
      <c r="R80" s="411"/>
    </row>
    <row r="81" spans="17:18" s="70" customFormat="1" x14ac:dyDescent="0.3">
      <c r="Q81" s="102"/>
      <c r="R81" s="411"/>
    </row>
    <row r="82" spans="17:18" s="70" customFormat="1" x14ac:dyDescent="0.3">
      <c r="Q82" s="102"/>
      <c r="R82" s="411"/>
    </row>
    <row r="83" spans="17:18" s="70" customFormat="1" x14ac:dyDescent="0.3">
      <c r="Q83" s="102"/>
      <c r="R83" s="411"/>
    </row>
    <row r="84" spans="17:18" s="70" customFormat="1" x14ac:dyDescent="0.3">
      <c r="Q84" s="102"/>
      <c r="R84" s="411"/>
    </row>
    <row r="85" spans="17:18" s="70" customFormat="1" x14ac:dyDescent="0.3">
      <c r="Q85" s="102"/>
      <c r="R85" s="411"/>
    </row>
    <row r="86" spans="17:18" s="70" customFormat="1" x14ac:dyDescent="0.3">
      <c r="Q86" s="102"/>
      <c r="R86" s="411"/>
    </row>
    <row r="87" spans="17:18" s="70" customFormat="1" x14ac:dyDescent="0.3">
      <c r="Q87" s="102"/>
      <c r="R87" s="411"/>
    </row>
    <row r="88" spans="17:18" s="70" customFormat="1" x14ac:dyDescent="0.3">
      <c r="Q88" s="102"/>
      <c r="R88" s="411"/>
    </row>
    <row r="89" spans="17:18" s="70" customFormat="1" x14ac:dyDescent="0.3">
      <c r="Q89" s="102"/>
      <c r="R89" s="411"/>
    </row>
    <row r="90" spans="17:18" s="70" customFormat="1" x14ac:dyDescent="0.3">
      <c r="Q90" s="102"/>
      <c r="R90" s="411"/>
    </row>
    <row r="91" spans="17:18" s="70" customFormat="1" x14ac:dyDescent="0.3">
      <c r="Q91" s="102"/>
      <c r="R91" s="411"/>
    </row>
    <row r="92" spans="17:18" s="70" customFormat="1" x14ac:dyDescent="0.3">
      <c r="Q92" s="102"/>
      <c r="R92" s="411"/>
    </row>
    <row r="93" spans="17:18" s="70" customFormat="1" x14ac:dyDescent="0.3">
      <c r="Q93" s="102"/>
      <c r="R93" s="411"/>
    </row>
    <row r="94" spans="17:18" s="70" customFormat="1" x14ac:dyDescent="0.3">
      <c r="Q94" s="102"/>
      <c r="R94" s="411"/>
    </row>
    <row r="95" spans="17:18" s="70" customFormat="1" x14ac:dyDescent="0.3">
      <c r="Q95" s="102"/>
      <c r="R95" s="411"/>
    </row>
    <row r="96" spans="17:18" s="70" customFormat="1" x14ac:dyDescent="0.3">
      <c r="Q96" s="102"/>
      <c r="R96" s="411"/>
    </row>
    <row r="97" spans="17:18" s="70" customFormat="1" x14ac:dyDescent="0.3">
      <c r="Q97" s="102"/>
      <c r="R97" s="411"/>
    </row>
    <row r="98" spans="17:18" s="70" customFormat="1" x14ac:dyDescent="0.3">
      <c r="Q98" s="102"/>
      <c r="R98" s="411"/>
    </row>
  </sheetData>
  <mergeCells count="2">
    <mergeCell ref="B54:D56"/>
    <mergeCell ref="B3:E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49"/>
  <sheetViews>
    <sheetView zoomScale="90" zoomScaleNormal="90" workbookViewId="0">
      <selection activeCell="B3" sqref="B3"/>
    </sheetView>
  </sheetViews>
  <sheetFormatPr defaultRowHeight="14.4" x14ac:dyDescent="0.3"/>
  <cols>
    <col min="1" max="1" width="3" customWidth="1"/>
    <col min="2" max="2" width="12.6640625" customWidth="1"/>
    <col min="3" max="3" width="9.44140625" customWidth="1"/>
    <col min="4" max="4" width="11.44140625" customWidth="1"/>
    <col min="5" max="5" width="14.44140625" customWidth="1"/>
    <col min="6" max="6" width="4" customWidth="1"/>
    <col min="7" max="7" width="11.77734375" customWidth="1"/>
    <col min="8" max="8" width="14.44140625" customWidth="1"/>
    <col min="9" max="9" width="4.6640625" customWidth="1"/>
    <col min="10" max="10" width="13.33203125" customWidth="1"/>
    <col min="11" max="11" width="15.5546875" customWidth="1"/>
    <col min="13" max="22" width="8.88671875" style="70"/>
  </cols>
  <sheetData>
    <row r="1" spans="1:22" ht="15" customHeigh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22" s="235" customFormat="1" ht="27" customHeight="1" thickBot="1" x14ac:dyDescent="0.4">
      <c r="A2" s="341"/>
      <c r="B2" s="341" t="s">
        <v>258</v>
      </c>
      <c r="C2" s="341"/>
      <c r="D2" s="341"/>
      <c r="E2" s="341"/>
      <c r="F2" s="341"/>
      <c r="G2" s="341"/>
      <c r="H2" s="341"/>
      <c r="I2" s="390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</row>
    <row r="3" spans="1:22" ht="15" thickBot="1" x14ac:dyDescent="0.35">
      <c r="A3" s="70"/>
      <c r="B3" s="522">
        <f>SUM('Sammanfattande resultat'!B2)</f>
        <v>44197</v>
      </c>
      <c r="C3" s="70"/>
      <c r="D3" s="70"/>
      <c r="E3" s="70"/>
      <c r="F3" s="70"/>
      <c r="G3" s="70"/>
      <c r="H3" s="70"/>
      <c r="I3" s="70"/>
      <c r="J3" s="70"/>
      <c r="K3" s="298"/>
      <c r="L3" s="70"/>
    </row>
    <row r="4" spans="1:22" ht="18.600000000000001" thickBot="1" x14ac:dyDescent="0.4">
      <c r="A4" s="70"/>
      <c r="B4" s="1" t="s">
        <v>97</v>
      </c>
      <c r="D4" s="189" t="s">
        <v>114</v>
      </c>
      <c r="E4" s="187"/>
      <c r="F4" s="187"/>
      <c r="G4" s="187"/>
      <c r="H4" s="187"/>
      <c r="I4" s="188"/>
      <c r="J4" s="188"/>
      <c r="K4" s="462">
        <v>5800</v>
      </c>
    </row>
    <row r="5" spans="1:22" ht="19.2" customHeight="1" x14ac:dyDescent="0.3">
      <c r="A5" s="70"/>
      <c r="B5" s="70"/>
      <c r="C5" s="70"/>
      <c r="D5" s="70"/>
      <c r="E5" s="70"/>
      <c r="F5" s="70"/>
      <c r="G5" s="70"/>
      <c r="H5" s="70"/>
      <c r="I5" s="70"/>
      <c r="J5" s="663" t="s">
        <v>307</v>
      </c>
      <c r="L5" s="70"/>
    </row>
    <row r="6" spans="1:22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22" ht="21.6" thickBot="1" x14ac:dyDescent="0.45">
      <c r="A7" s="70"/>
      <c r="B7" s="300" t="s">
        <v>33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22" s="43" customFormat="1" ht="24.6" customHeight="1" thickBot="1" x14ac:dyDescent="0.35">
      <c r="A8" s="78"/>
      <c r="B8" s="620" t="s">
        <v>305</v>
      </c>
      <c r="C8" s="621" t="s">
        <v>16</v>
      </c>
      <c r="D8" s="621" t="s">
        <v>17</v>
      </c>
      <c r="E8" s="622" t="s">
        <v>20</v>
      </c>
      <c r="F8" s="623"/>
      <c r="G8" s="624" t="s">
        <v>115</v>
      </c>
      <c r="H8" s="625" t="s">
        <v>32</v>
      </c>
      <c r="I8" s="662"/>
      <c r="J8" s="626" t="s">
        <v>217</v>
      </c>
      <c r="K8" s="627" t="s">
        <v>32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1:22" x14ac:dyDescent="0.3">
      <c r="A9" s="70"/>
      <c r="B9" s="658">
        <f>SUM(Hyresavgifter!B6)</f>
        <v>0</v>
      </c>
      <c r="C9" s="460">
        <f>SUM('Sammanfattande resultat'!C7)</f>
        <v>0</v>
      </c>
      <c r="D9" s="14">
        <f>SUM('Sammanfattande resultat'!E7)</f>
        <v>0</v>
      </c>
      <c r="E9" s="457">
        <f>SUM(C9)*D9</f>
        <v>0</v>
      </c>
      <c r="F9" s="550"/>
      <c r="G9" s="183">
        <f>SUM(K4)</f>
        <v>5800</v>
      </c>
      <c r="H9" s="180">
        <f>SUM(G9)*E9</f>
        <v>0</v>
      </c>
      <c r="I9" s="70"/>
      <c r="J9" s="178">
        <f>SUM(G9)*1.75</f>
        <v>10150</v>
      </c>
      <c r="K9" s="179">
        <f>SUM(E9)*J9</f>
        <v>0</v>
      </c>
      <c r="L9" s="70"/>
    </row>
    <row r="10" spans="1:22" x14ac:dyDescent="0.3">
      <c r="A10" s="70"/>
      <c r="B10" s="640">
        <f>SUM(Hyresavgifter!B7)</f>
        <v>0</v>
      </c>
      <c r="C10" s="461">
        <f>SUM('Sammanfattande resultat'!C8)</f>
        <v>0</v>
      </c>
      <c r="D10" s="15">
        <f>SUM('Sammanfattande resultat'!E8)</f>
        <v>0</v>
      </c>
      <c r="E10" s="458">
        <f>SUM(C10)*D10</f>
        <v>0</v>
      </c>
      <c r="F10" s="550"/>
      <c r="G10" s="184">
        <f>((K4*34)+(2900*34))/60.3</f>
        <v>4905.4726368159209</v>
      </c>
      <c r="H10" s="181">
        <f>SUM(G10)*E10</f>
        <v>0</v>
      </c>
      <c r="I10" s="70"/>
      <c r="J10" s="178">
        <f>SUM(G10)*1.75</f>
        <v>8584.5771144278624</v>
      </c>
      <c r="K10" s="179">
        <f>SUM(E10)*J10</f>
        <v>0</v>
      </c>
      <c r="L10" s="70"/>
    </row>
    <row r="11" spans="1:22" x14ac:dyDescent="0.3">
      <c r="A11" s="70"/>
      <c r="B11" s="640">
        <f>SUM(Hyresavgifter!B8)</f>
        <v>0</v>
      </c>
      <c r="C11" s="461">
        <f>SUM('Sammanfattande resultat'!C9)</f>
        <v>0</v>
      </c>
      <c r="D11" s="15">
        <f>SUM('Sammanfattande resultat'!E9)</f>
        <v>0</v>
      </c>
      <c r="E11" s="177">
        <f>SUM(C11)*D11</f>
        <v>0</v>
      </c>
      <c r="F11" s="550"/>
      <c r="G11" s="184">
        <f>((K4*34)+(2900*34))/68.6</f>
        <v>4311.9533527696794</v>
      </c>
      <c r="H11" s="181">
        <f>SUM(G11)*E11</f>
        <v>0</v>
      </c>
      <c r="I11" s="70"/>
      <c r="J11" s="178">
        <f>SUM(G11)*1.75</f>
        <v>7545.9183673469388</v>
      </c>
      <c r="K11" s="179">
        <f>SUM(E11)*J11</f>
        <v>0</v>
      </c>
      <c r="L11" s="70"/>
    </row>
    <row r="12" spans="1:22" ht="15" thickBot="1" x14ac:dyDescent="0.35">
      <c r="A12" s="70"/>
      <c r="B12" s="640">
        <f>SUM(Hyresavgifter!B9)</f>
        <v>0</v>
      </c>
      <c r="C12" s="461">
        <f>SUM('Sammanfattande resultat'!C10)</f>
        <v>0</v>
      </c>
      <c r="D12" s="15">
        <f>SUM('Sammanfattande resultat'!E10)</f>
        <v>0</v>
      </c>
      <c r="E12" s="177">
        <f>SUM(C12)*D12</f>
        <v>0</v>
      </c>
      <c r="F12" s="550"/>
      <c r="G12" s="185">
        <f>((K4*34)+(2900*34))/68</f>
        <v>4350</v>
      </c>
      <c r="H12" s="182">
        <f>SUM(G12)*E12</f>
        <v>0</v>
      </c>
      <c r="I12" s="70"/>
      <c r="J12" s="178">
        <f>SUM(G12)*1.75</f>
        <v>7612.5</v>
      </c>
      <c r="K12" s="179">
        <f>SUM(E12)*J12</f>
        <v>0</v>
      </c>
      <c r="L12" s="70"/>
    </row>
    <row r="13" spans="1:22" ht="15" thickBot="1" x14ac:dyDescent="0.35">
      <c r="A13" s="70"/>
      <c r="B13" s="628" t="s">
        <v>303</v>
      </c>
      <c r="C13" s="629"/>
      <c r="D13" s="243">
        <f>SUM(D9:D12)</f>
        <v>0</v>
      </c>
      <c r="E13" s="174">
        <f>SUM(E9:E12)</f>
        <v>0</v>
      </c>
      <c r="F13" s="551"/>
      <c r="G13" s="186"/>
      <c r="H13" s="176">
        <f>SUM(H9:H12)</f>
        <v>0</v>
      </c>
      <c r="I13" s="70"/>
      <c r="J13" s="175"/>
      <c r="K13" s="5">
        <f>SUM(K9:K12)</f>
        <v>0</v>
      </c>
      <c r="L13" s="70"/>
    </row>
    <row r="14" spans="1:22" ht="15" thickBot="1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22" ht="15" thickBot="1" x14ac:dyDescent="0.35">
      <c r="A15" s="70"/>
      <c r="B15" s="463" t="s">
        <v>218</v>
      </c>
      <c r="C15" s="463"/>
      <c r="D15" s="463" t="s">
        <v>219</v>
      </c>
      <c r="E15" s="463"/>
      <c r="F15" s="463"/>
      <c r="G15" s="463"/>
      <c r="H15" s="463"/>
      <c r="I15" s="70"/>
      <c r="J15" s="331"/>
      <c r="K15" s="332"/>
      <c r="L15" s="70"/>
    </row>
    <row r="16" spans="1:22" ht="10.8" customHeight="1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22" ht="15" thickBot="1" x14ac:dyDescent="0.3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22" s="17" customFormat="1" ht="25.5" customHeight="1" thickBot="1" x14ac:dyDescent="0.4">
      <c r="A18" s="75"/>
      <c r="B18" s="286" t="s">
        <v>224</v>
      </c>
      <c r="C18" s="287"/>
      <c r="D18" s="287"/>
      <c r="E18" s="287"/>
      <c r="F18" s="287"/>
      <c r="G18" s="287"/>
      <c r="H18" s="287"/>
      <c r="I18" s="287"/>
      <c r="J18" s="289" t="s">
        <v>225</v>
      </c>
      <c r="K18" s="288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2" ht="15.6" x14ac:dyDescent="0.3">
      <c r="A19" s="70"/>
      <c r="B19" s="290" t="s">
        <v>222</v>
      </c>
      <c r="C19" s="291"/>
      <c r="D19" s="291"/>
      <c r="E19" s="291"/>
      <c r="F19" s="291"/>
      <c r="G19" s="291"/>
      <c r="H19" s="291"/>
      <c r="I19" s="291"/>
      <c r="J19" s="292"/>
      <c r="K19" s="296">
        <v>7100</v>
      </c>
      <c r="L19" s="70"/>
    </row>
    <row r="20" spans="1:22" ht="15.6" x14ac:dyDescent="0.3">
      <c r="A20" s="70"/>
      <c r="B20" s="290" t="s">
        <v>306</v>
      </c>
      <c r="C20" s="291"/>
      <c r="D20" s="291"/>
      <c r="E20" s="291"/>
      <c r="F20" s="291"/>
      <c r="G20" s="291"/>
      <c r="H20" s="291"/>
      <c r="I20" s="291"/>
      <c r="J20" s="292"/>
      <c r="K20" s="296">
        <v>5800</v>
      </c>
      <c r="L20" s="70"/>
    </row>
    <row r="21" spans="1:22" ht="16.2" thickBot="1" x14ac:dyDescent="0.35">
      <c r="A21" s="70"/>
      <c r="B21" s="293" t="s">
        <v>223</v>
      </c>
      <c r="C21" s="294"/>
      <c r="D21" s="294"/>
      <c r="E21" s="294"/>
      <c r="F21" s="294"/>
      <c r="G21" s="294"/>
      <c r="H21" s="294"/>
      <c r="I21" s="294"/>
      <c r="J21" s="295"/>
      <c r="K21" s="297">
        <v>4800</v>
      </c>
      <c r="L21" s="70"/>
    </row>
    <row r="22" spans="1:22" x14ac:dyDescent="0.3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22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22" x14ac:dyDescent="0.3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22" x14ac:dyDescent="0.3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22" s="70" customFormat="1" x14ac:dyDescent="0.3"/>
    <row r="27" spans="1:22" s="70" customFormat="1" x14ac:dyDescent="0.3"/>
    <row r="28" spans="1:22" s="70" customFormat="1" x14ac:dyDescent="0.3"/>
    <row r="29" spans="1:22" s="70" customFormat="1" x14ac:dyDescent="0.3"/>
    <row r="30" spans="1:22" s="70" customFormat="1" x14ac:dyDescent="0.3"/>
    <row r="31" spans="1:22" s="70" customFormat="1" x14ac:dyDescent="0.3"/>
    <row r="32" spans="1:22" s="70" customFormat="1" x14ac:dyDescent="0.3"/>
    <row r="33" s="70" customFormat="1" x14ac:dyDescent="0.3"/>
    <row r="34" s="70" customFormat="1" x14ac:dyDescent="0.3"/>
    <row r="35" s="70" customFormat="1" x14ac:dyDescent="0.3"/>
    <row r="36" s="70" customFormat="1" x14ac:dyDescent="0.3"/>
    <row r="37" s="70" customFormat="1" x14ac:dyDescent="0.3"/>
    <row r="38" s="70" customFormat="1" x14ac:dyDescent="0.3"/>
    <row r="39" s="70" customFormat="1" x14ac:dyDescent="0.3"/>
    <row r="40" s="70" customFormat="1" x14ac:dyDescent="0.3"/>
    <row r="41" s="70" customFormat="1" x14ac:dyDescent="0.3"/>
    <row r="42" s="70" customFormat="1" x14ac:dyDescent="0.3"/>
    <row r="43" s="70" customFormat="1" x14ac:dyDescent="0.3"/>
    <row r="44" s="70" customFormat="1" x14ac:dyDescent="0.3"/>
    <row r="45" s="70" customFormat="1" x14ac:dyDescent="0.3"/>
    <row r="46" s="70" customFormat="1" x14ac:dyDescent="0.3"/>
    <row r="47" s="70" customFormat="1" x14ac:dyDescent="0.3"/>
    <row r="48" s="70" customFormat="1" x14ac:dyDescent="0.3"/>
    <row r="49" s="70" customFormat="1" x14ac:dyDescent="0.3"/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F54F-32D5-4227-B4A4-2CBAA422ABD9}">
  <dimension ref="A1:AP193"/>
  <sheetViews>
    <sheetView zoomScale="110" zoomScaleNormal="110" workbookViewId="0">
      <selection activeCell="D1" sqref="D1:J1"/>
    </sheetView>
  </sheetViews>
  <sheetFormatPr defaultRowHeight="14.4" x14ac:dyDescent="0.3"/>
  <cols>
    <col min="1" max="1" width="1.6640625" style="70" customWidth="1"/>
    <col min="2" max="2" width="8" style="70" customWidth="1"/>
    <col min="3" max="3" width="5.5546875" style="70" customWidth="1"/>
    <col min="4" max="4" width="23.6640625" bestFit="1" customWidth="1"/>
    <col min="5" max="5" width="25.88671875" customWidth="1"/>
    <col min="6" max="6" width="10.33203125" customWidth="1"/>
    <col min="7" max="7" width="20.33203125" bestFit="1" customWidth="1"/>
    <col min="8" max="8" width="14.33203125" bestFit="1" customWidth="1"/>
    <col min="9" max="9" width="13.5546875" customWidth="1"/>
    <col min="10" max="10" width="12" customWidth="1"/>
    <col min="11" max="11" width="15.5546875" bestFit="1" customWidth="1"/>
    <col min="12" max="12" width="17.33203125" bestFit="1" customWidth="1"/>
    <col min="13" max="13" width="14.6640625" bestFit="1" customWidth="1"/>
    <col min="14" max="14" width="8.88671875" style="70"/>
    <col min="15" max="15" width="9.109375" style="70" hidden="1" customWidth="1"/>
    <col min="16" max="16" width="12.88671875" style="70" hidden="1" customWidth="1"/>
    <col min="17" max="17" width="25.33203125" style="70" hidden="1" customWidth="1"/>
    <col min="18" max="20" width="9.109375" style="70" hidden="1" customWidth="1"/>
    <col min="21" max="21" width="11" style="70" hidden="1" customWidth="1"/>
    <col min="22" max="22" width="9.109375" style="70" hidden="1" customWidth="1"/>
    <col min="23" max="23" width="15.6640625" style="70" hidden="1" customWidth="1"/>
    <col min="24" max="24" width="15.44140625" style="70" hidden="1" customWidth="1"/>
    <col min="25" max="26" width="9.109375" style="70" hidden="1" customWidth="1"/>
    <col min="27" max="42" width="8.88671875" style="70"/>
  </cols>
  <sheetData>
    <row r="1" spans="4:20" ht="27.6" customHeight="1" x14ac:dyDescent="0.3">
      <c r="D1" s="679" t="s">
        <v>260</v>
      </c>
      <c r="E1" s="679"/>
      <c r="F1" s="679"/>
      <c r="G1" s="679"/>
      <c r="H1" s="679"/>
      <c r="I1" s="679"/>
      <c r="J1" s="679"/>
      <c r="K1" s="70"/>
      <c r="L1" s="70"/>
      <c r="M1" s="70"/>
    </row>
    <row r="2" spans="4:20" x14ac:dyDescent="0.3"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4:20" x14ac:dyDescent="0.3">
      <c r="D3" s="70" t="s">
        <v>137</v>
      </c>
      <c r="E3" s="207" t="s">
        <v>274</v>
      </c>
      <c r="F3" s="70" t="str">
        <f>""</f>
        <v/>
      </c>
      <c r="G3" s="70" t="str">
        <f>""</f>
        <v/>
      </c>
      <c r="H3" s="70"/>
      <c r="I3" s="70"/>
      <c r="J3" s="70"/>
      <c r="K3" s="70"/>
      <c r="L3" s="70"/>
      <c r="M3" s="70"/>
      <c r="P3" s="586" t="s">
        <v>138</v>
      </c>
      <c r="Q3" s="587" t="s">
        <v>139</v>
      </c>
      <c r="R3" s="588"/>
      <c r="S3" s="588"/>
      <c r="T3" s="589"/>
    </row>
    <row r="4" spans="4:20" x14ac:dyDescent="0.3">
      <c r="D4" s="70" t="s">
        <v>140</v>
      </c>
      <c r="E4" s="207" t="s">
        <v>275</v>
      </c>
      <c r="F4" s="70" t="str">
        <f>""</f>
        <v/>
      </c>
      <c r="G4" s="70"/>
      <c r="H4" s="70"/>
      <c r="I4" s="70"/>
      <c r="J4" s="70"/>
      <c r="K4" s="70"/>
      <c r="L4" s="70"/>
      <c r="M4" s="70"/>
      <c r="P4" s="590"/>
      <c r="Q4" s="70" t="s">
        <v>141</v>
      </c>
      <c r="T4" s="591"/>
    </row>
    <row r="5" spans="4:20" x14ac:dyDescent="0.3">
      <c r="D5" s="70" t="s">
        <v>142</v>
      </c>
      <c r="E5" s="207"/>
      <c r="F5" s="70" t="str">
        <f>""</f>
        <v/>
      </c>
      <c r="G5" s="70" t="str">
        <f>""</f>
        <v/>
      </c>
      <c r="H5" s="70"/>
      <c r="I5" s="70"/>
      <c r="J5" s="70"/>
      <c r="K5" s="70"/>
      <c r="L5" s="70"/>
      <c r="M5" s="70"/>
      <c r="P5" s="590"/>
      <c r="Q5" s="592">
        <v>123</v>
      </c>
      <c r="T5" s="591"/>
    </row>
    <row r="6" spans="4:20" x14ac:dyDescent="0.3">
      <c r="D6" s="70" t="s">
        <v>143</v>
      </c>
      <c r="E6" s="261" t="s">
        <v>276</v>
      </c>
      <c r="F6" s="70" t="str">
        <f>""</f>
        <v/>
      </c>
      <c r="G6" s="70" t="str">
        <f>""</f>
        <v/>
      </c>
      <c r="H6" s="70"/>
      <c r="I6" s="70"/>
      <c r="J6" s="70"/>
      <c r="K6" s="70"/>
      <c r="L6" s="70"/>
      <c r="M6" s="70"/>
      <c r="P6" s="590"/>
      <c r="Q6" s="592">
        <v>4567</v>
      </c>
      <c r="T6" s="591"/>
    </row>
    <row r="7" spans="4:20" ht="15" thickBot="1" x14ac:dyDescent="0.35">
      <c r="D7" s="70"/>
      <c r="F7" s="411"/>
      <c r="G7" s="70"/>
      <c r="H7" s="70"/>
      <c r="I7" s="70"/>
      <c r="J7" s="70"/>
      <c r="K7" s="70"/>
      <c r="L7" s="70"/>
      <c r="M7" s="70"/>
      <c r="P7" s="590"/>
      <c r="T7" s="591"/>
    </row>
    <row r="8" spans="4:20" x14ac:dyDescent="0.3">
      <c r="D8" s="82" t="s">
        <v>144</v>
      </c>
      <c r="E8" s="208">
        <f>SUM('Sammanfattande resultat'!I11)</f>
        <v>0</v>
      </c>
      <c r="F8" s="411"/>
      <c r="G8" s="680" t="s">
        <v>145</v>
      </c>
      <c r="H8" s="681"/>
      <c r="I8" s="681"/>
      <c r="J8" s="682"/>
      <c r="K8" s="444"/>
      <c r="L8" s="70"/>
      <c r="M8" s="70"/>
      <c r="P8" s="590"/>
      <c r="R8" s="70" t="s">
        <v>17</v>
      </c>
      <c r="S8" s="70" t="s">
        <v>146</v>
      </c>
      <c r="T8" s="591" t="s">
        <v>77</v>
      </c>
    </row>
    <row r="9" spans="4:20" x14ac:dyDescent="0.3">
      <c r="D9" s="82" t="s">
        <v>147</v>
      </c>
      <c r="F9" s="70"/>
      <c r="G9" s="209" t="s">
        <v>148</v>
      </c>
      <c r="H9" s="136"/>
      <c r="I9" s="136"/>
      <c r="J9" s="191"/>
      <c r="K9" s="70"/>
      <c r="L9" s="70"/>
      <c r="M9" s="70"/>
      <c r="P9" s="590"/>
      <c r="Q9" s="70" t="s">
        <v>149</v>
      </c>
      <c r="R9" s="411">
        <v>6</v>
      </c>
      <c r="S9" s="411">
        <v>24</v>
      </c>
      <c r="T9" s="593">
        <v>144</v>
      </c>
    </row>
    <row r="10" spans="4:20" x14ac:dyDescent="0.3">
      <c r="D10" s="443" t="s">
        <v>150</v>
      </c>
      <c r="E10" s="210">
        <v>0.01</v>
      </c>
      <c r="F10" s="70"/>
      <c r="G10" s="211" t="s">
        <v>151</v>
      </c>
      <c r="H10" s="630">
        <f>E16</f>
        <v>13.52</v>
      </c>
      <c r="I10" s="136"/>
      <c r="J10" s="191"/>
      <c r="K10" s="70"/>
      <c r="L10" s="70"/>
      <c r="M10" s="70"/>
      <c r="P10" s="590"/>
      <c r="Q10" s="70" t="s">
        <v>152</v>
      </c>
      <c r="R10" s="411">
        <v>8</v>
      </c>
      <c r="S10" s="411">
        <v>35</v>
      </c>
      <c r="T10" s="593">
        <v>280</v>
      </c>
    </row>
    <row r="11" spans="4:20" x14ac:dyDescent="0.3">
      <c r="D11" s="443" t="s">
        <v>153</v>
      </c>
      <c r="E11" s="210">
        <v>1.2999999999999999E-2</v>
      </c>
      <c r="F11" s="70"/>
      <c r="G11" s="211" t="s">
        <v>154</v>
      </c>
      <c r="H11" s="630" t="e">
        <f>I28</f>
        <v>#DIV/0!</v>
      </c>
      <c r="I11" s="136"/>
      <c r="J11" s="191"/>
      <c r="K11" s="70"/>
      <c r="L11" s="70"/>
      <c r="M11" s="70"/>
      <c r="P11" s="590"/>
      <c r="Q11" s="70" t="s">
        <v>155</v>
      </c>
      <c r="R11" s="411">
        <v>4</v>
      </c>
      <c r="S11" s="411">
        <v>77</v>
      </c>
      <c r="T11" s="593">
        <v>308</v>
      </c>
    </row>
    <row r="12" spans="4:20" x14ac:dyDescent="0.3">
      <c r="D12" s="443" t="s">
        <v>156</v>
      </c>
      <c r="E12" s="210">
        <v>1.7000000000000001E-2</v>
      </c>
      <c r="F12" s="70"/>
      <c r="G12" s="212" t="s">
        <v>77</v>
      </c>
      <c r="H12" s="630" t="e">
        <f>H10+H11</f>
        <v>#DIV/0!</v>
      </c>
      <c r="I12" s="136"/>
      <c r="J12" s="191"/>
      <c r="K12" s="70"/>
      <c r="L12" s="70"/>
      <c r="M12" s="70"/>
      <c r="P12" s="590"/>
      <c r="Q12" s="70" t="s">
        <v>157</v>
      </c>
      <c r="R12" s="411">
        <v>0</v>
      </c>
      <c r="S12" s="411">
        <v>0</v>
      </c>
      <c r="T12" s="593">
        <v>0</v>
      </c>
    </row>
    <row r="13" spans="4:20" x14ac:dyDescent="0.3">
      <c r="D13" s="443" t="s">
        <v>158</v>
      </c>
      <c r="E13" s="210">
        <v>0.02</v>
      </c>
      <c r="F13" s="70"/>
      <c r="G13" s="213" t="s">
        <v>22</v>
      </c>
      <c r="H13" s="630"/>
      <c r="I13" s="631" t="s">
        <v>159</v>
      </c>
      <c r="J13" s="214" t="s">
        <v>160</v>
      </c>
      <c r="K13" s="70"/>
      <c r="L13" s="70"/>
      <c r="M13" s="70"/>
      <c r="P13" s="590"/>
      <c r="Q13" s="70" t="s">
        <v>161</v>
      </c>
      <c r="R13" s="411">
        <v>2</v>
      </c>
      <c r="S13" s="411">
        <v>100</v>
      </c>
      <c r="T13" s="593">
        <v>200</v>
      </c>
    </row>
    <row r="14" spans="4:20" x14ac:dyDescent="0.3">
      <c r="D14" s="70"/>
      <c r="E14" s="65"/>
      <c r="F14" s="70"/>
      <c r="G14" s="215" t="s">
        <v>162</v>
      </c>
      <c r="H14" s="630">
        <f>M28</f>
        <v>0</v>
      </c>
      <c r="I14" s="136" t="e">
        <f>IF(H18&lt;=0,"Fullt stöd",IF(AND(0&lt;H18,H18&lt;H15),"Reducerat stöd","Inget stöd"))</f>
        <v>#DIV/0!</v>
      </c>
      <c r="J14" s="216" t="e">
        <f>IF(I14="fullt stöd",H15,IF(I14="Reducerat stöd",H15-H18,0))</f>
        <v>#DIV/0!</v>
      </c>
      <c r="K14" s="70"/>
      <c r="L14" s="70"/>
      <c r="M14" s="70"/>
      <c r="P14" s="590"/>
      <c r="Q14" s="70" t="s">
        <v>163</v>
      </c>
      <c r="R14" s="411">
        <v>0</v>
      </c>
      <c r="S14" s="411">
        <v>0</v>
      </c>
      <c r="T14" s="593">
        <v>0</v>
      </c>
    </row>
    <row r="15" spans="4:20" x14ac:dyDescent="0.3">
      <c r="D15" s="82" t="s">
        <v>164</v>
      </c>
      <c r="E15" s="217">
        <f>SUM('Sammanfattande resultat'!B15)</f>
        <v>0</v>
      </c>
      <c r="F15" s="70"/>
      <c r="G15" s="211" t="s">
        <v>165</v>
      </c>
      <c r="H15" s="632">
        <f>E17</f>
        <v>164937</v>
      </c>
      <c r="I15" s="136"/>
      <c r="J15" s="191"/>
      <c r="K15" s="70"/>
      <c r="L15" s="70"/>
      <c r="M15" s="70"/>
      <c r="P15" s="594"/>
      <c r="Q15" s="595"/>
      <c r="R15" s="595"/>
      <c r="S15" s="595" t="s">
        <v>77</v>
      </c>
      <c r="T15" s="596">
        <v>932</v>
      </c>
    </row>
    <row r="16" spans="4:20" x14ac:dyDescent="0.3">
      <c r="D16" s="82" t="s">
        <v>166</v>
      </c>
      <c r="E16" s="208">
        <f>SUM('Sammanfattande resultat'!D24)</f>
        <v>13.52</v>
      </c>
      <c r="F16" s="70"/>
      <c r="G16" s="209" t="s">
        <v>77</v>
      </c>
      <c r="H16" s="630">
        <f>H14+H15</f>
        <v>164937</v>
      </c>
      <c r="I16" s="136"/>
      <c r="J16" s="191"/>
      <c r="K16" s="70"/>
      <c r="L16" s="70"/>
      <c r="M16" s="70"/>
    </row>
    <row r="17" spans="2:24" x14ac:dyDescent="0.3">
      <c r="D17" s="70" t="s">
        <v>167</v>
      </c>
      <c r="E17" s="262">
        <f>SUM('Sammanfattande resultat'!D21)+164937</f>
        <v>164937</v>
      </c>
      <c r="F17" s="70"/>
      <c r="G17" s="194"/>
      <c r="H17" s="630"/>
      <c r="I17" s="136"/>
      <c r="J17" s="191"/>
      <c r="K17" s="70"/>
      <c r="L17" s="70"/>
      <c r="M17" s="70"/>
    </row>
    <row r="18" spans="2:24" ht="29.4" thickBot="1" x14ac:dyDescent="0.35">
      <c r="D18" s="82" t="s">
        <v>168</v>
      </c>
      <c r="E18" s="208" t="e">
        <f>SUM(Referensunderlag!R17)</f>
        <v>#DIV/0!</v>
      </c>
      <c r="F18" s="70"/>
      <c r="G18" s="197" t="s">
        <v>169</v>
      </c>
      <c r="H18" s="218" t="e">
        <f>H16-H12</f>
        <v>#DIV/0!</v>
      </c>
      <c r="I18" s="66"/>
      <c r="J18" s="192"/>
      <c r="K18" s="70"/>
      <c r="L18" s="70"/>
      <c r="M18" s="70"/>
    </row>
    <row r="19" spans="2:24" x14ac:dyDescent="0.3">
      <c r="D19" s="70" t="s">
        <v>170</v>
      </c>
      <c r="E19" s="521">
        <v>0.02</v>
      </c>
      <c r="F19" s="141"/>
      <c r="G19" s="141"/>
      <c r="H19" s="141"/>
      <c r="I19" s="141"/>
      <c r="J19" s="141"/>
      <c r="K19" s="70"/>
      <c r="L19" s="70"/>
      <c r="M19" s="70"/>
    </row>
    <row r="20" spans="2:24" x14ac:dyDescent="0.3">
      <c r="D20" s="70"/>
      <c r="F20" s="141"/>
      <c r="G20" s="141"/>
      <c r="H20" s="141"/>
      <c r="I20" s="141"/>
      <c r="J20" s="141"/>
      <c r="K20" s="70"/>
      <c r="L20" s="70"/>
      <c r="M20" s="70"/>
    </row>
    <row r="21" spans="2:24" x14ac:dyDescent="0.3">
      <c r="D21" s="70" t="s">
        <v>171</v>
      </c>
      <c r="E21" s="520">
        <v>0.06</v>
      </c>
      <c r="F21" s="141"/>
      <c r="G21" s="141"/>
      <c r="H21" s="141"/>
      <c r="I21" s="141"/>
      <c r="J21" s="141"/>
      <c r="K21" s="70"/>
      <c r="L21" s="70"/>
      <c r="M21" s="70"/>
      <c r="S21" s="70" t="s">
        <v>172</v>
      </c>
    </row>
    <row r="22" spans="2:24" x14ac:dyDescent="0.3">
      <c r="D22" s="70"/>
      <c r="E22" s="70"/>
      <c r="F22" s="141"/>
      <c r="G22" s="141"/>
      <c r="H22" s="141"/>
      <c r="I22" s="141"/>
      <c r="J22" s="141"/>
      <c r="K22" s="70"/>
      <c r="L22" s="70"/>
      <c r="M22" s="70"/>
      <c r="R22" s="70" t="s">
        <v>173</v>
      </c>
      <c r="S22" s="592" t="str">
        <f>""</f>
        <v/>
      </c>
    </row>
    <row r="23" spans="2:24" x14ac:dyDescent="0.3">
      <c r="D23" s="70"/>
      <c r="E23" s="70"/>
      <c r="F23" s="70"/>
      <c r="G23" s="70"/>
      <c r="H23" s="70"/>
      <c r="I23" s="70"/>
      <c r="J23" s="70"/>
      <c r="K23" s="70"/>
      <c r="L23" s="70"/>
      <c r="M23" s="70"/>
      <c r="R23" s="70" t="s">
        <v>174</v>
      </c>
      <c r="S23" s="597">
        <v>0</v>
      </c>
    </row>
    <row r="24" spans="2:24" x14ac:dyDescent="0.3">
      <c r="D24" s="70"/>
      <c r="E24" s="70"/>
      <c r="F24" s="70"/>
      <c r="G24" s="70"/>
      <c r="H24" s="70"/>
      <c r="I24" s="70"/>
      <c r="J24" s="70"/>
      <c r="K24" s="70"/>
      <c r="L24" s="70"/>
      <c r="M24" s="70"/>
      <c r="R24" s="70" t="s">
        <v>175</v>
      </c>
      <c r="S24" s="598">
        <v>0</v>
      </c>
    </row>
    <row r="25" spans="2:24" x14ac:dyDescent="0.3">
      <c r="D25" s="70"/>
      <c r="F25" s="70"/>
      <c r="H25" s="70"/>
      <c r="I25" s="70"/>
      <c r="J25" s="70"/>
      <c r="K25" s="70"/>
      <c r="L25" s="70"/>
      <c r="M25" s="70"/>
      <c r="R25" s="70" t="s">
        <v>176</v>
      </c>
      <c r="S25" s="599">
        <v>0</v>
      </c>
    </row>
    <row r="26" spans="2:24" x14ac:dyDescent="0.3">
      <c r="B26" s="411"/>
      <c r="D26" s="683" t="s">
        <v>177</v>
      </c>
      <c r="E26" s="684"/>
      <c r="F26" s="684"/>
      <c r="G26" s="684"/>
      <c r="H26" s="684"/>
      <c r="I26" s="685"/>
      <c r="J26" s="70"/>
      <c r="K26" s="683" t="s">
        <v>178</v>
      </c>
      <c r="L26" s="684"/>
      <c r="M26" s="685"/>
    </row>
    <row r="27" spans="2:24" ht="43.2" x14ac:dyDescent="0.3">
      <c r="B27" s="600" t="s">
        <v>179</v>
      </c>
      <c r="C27" s="73" t="s">
        <v>180</v>
      </c>
      <c r="D27" s="220" t="s">
        <v>166</v>
      </c>
      <c r="E27" s="48"/>
      <c r="F27" s="219" t="s">
        <v>181</v>
      </c>
      <c r="G27" s="219" t="s">
        <v>182</v>
      </c>
      <c r="H27" s="219" t="s">
        <v>183</v>
      </c>
      <c r="I27" s="221" t="s">
        <v>184</v>
      </c>
      <c r="J27" s="70"/>
      <c r="K27" s="222" t="s">
        <v>185</v>
      </c>
      <c r="L27" s="223" t="s">
        <v>186</v>
      </c>
      <c r="M27" s="221" t="s">
        <v>187</v>
      </c>
      <c r="X27" s="70" t="s">
        <v>188</v>
      </c>
    </row>
    <row r="28" spans="2:24" x14ac:dyDescent="0.3">
      <c r="B28" s="601">
        <f t="shared" ref="B28:B68" si="0">1/(1+$E$21)^C28</f>
        <v>1</v>
      </c>
      <c r="C28" s="411">
        <v>0</v>
      </c>
      <c r="D28" s="224">
        <f>E16</f>
        <v>13.52</v>
      </c>
      <c r="I28" s="225" t="e">
        <f>SUM(H29:H68)</f>
        <v>#DIV/0!</v>
      </c>
      <c r="J28" s="512"/>
      <c r="K28" s="4"/>
      <c r="L28" s="226"/>
      <c r="M28" s="225">
        <f>SUM(L29:L68)</f>
        <v>0</v>
      </c>
      <c r="P28" s="70" t="s">
        <v>189</v>
      </c>
      <c r="Q28" s="70" t="s">
        <v>190</v>
      </c>
      <c r="U28" s="70" t="s">
        <v>191</v>
      </c>
      <c r="W28" s="70" t="s">
        <v>192</v>
      </c>
      <c r="X28" s="512" t="e">
        <f>SUM(W29:W68)</f>
        <v>#DIV/0!</v>
      </c>
    </row>
    <row r="29" spans="2:24" x14ac:dyDescent="0.3">
      <c r="B29" s="601">
        <f t="shared" si="0"/>
        <v>0.94339622641509424</v>
      </c>
      <c r="C29" s="411">
        <v>1</v>
      </c>
      <c r="D29" s="4"/>
      <c r="F29" s="65" t="e">
        <f>E18</f>
        <v>#DIV/0!</v>
      </c>
      <c r="G29" s="65" t="e">
        <f>F29*$E$15</f>
        <v>#DIV/0!</v>
      </c>
      <c r="H29" s="65" t="e">
        <f>B29*G29</f>
        <v>#DIV/0!</v>
      </c>
      <c r="I29" s="225"/>
      <c r="J29" s="512"/>
      <c r="K29" s="224">
        <f>$E$8</f>
        <v>0</v>
      </c>
      <c r="L29" s="65">
        <f>K29*B29</f>
        <v>0</v>
      </c>
      <c r="M29" s="227"/>
      <c r="U29" s="512" t="e">
        <f>K29-G29</f>
        <v>#DIV/0!</v>
      </c>
      <c r="W29" s="512" t="e">
        <f>U29*B29</f>
        <v>#DIV/0!</v>
      </c>
      <c r="X29" s="70" t="s">
        <v>193</v>
      </c>
    </row>
    <row r="30" spans="2:24" x14ac:dyDescent="0.3">
      <c r="B30" s="601">
        <f t="shared" si="0"/>
        <v>0.88999644001423983</v>
      </c>
      <c r="C30" s="411">
        <v>2</v>
      </c>
      <c r="D30" s="4"/>
      <c r="E30" s="228"/>
      <c r="F30" s="65" t="e">
        <f>F29*(1+$E$19)</f>
        <v>#DIV/0!</v>
      </c>
      <c r="G30" s="65" t="e">
        <f t="shared" ref="G30:G68" si="1">F30*$E$15</f>
        <v>#DIV/0!</v>
      </c>
      <c r="H30" s="65" t="e">
        <f t="shared" ref="H30:H68" si="2">B30*G30</f>
        <v>#DIV/0!</v>
      </c>
      <c r="I30" s="225"/>
      <c r="J30" s="513"/>
      <c r="K30" s="224">
        <f>K29*(1+$E$10)</f>
        <v>0</v>
      </c>
      <c r="L30" s="65">
        <f t="shared" ref="L30:L68" si="3">K30*B30</f>
        <v>0</v>
      </c>
      <c r="M30" s="227"/>
      <c r="P30" s="513" t="e">
        <f>G30/G29-1</f>
        <v>#DIV/0!</v>
      </c>
      <c r="Q30" s="513" t="e">
        <f>K30/K29-1</f>
        <v>#DIV/0!</v>
      </c>
      <c r="U30" s="512" t="e">
        <f t="shared" ref="U30:U68" si="4">K30-G30</f>
        <v>#DIV/0!</v>
      </c>
      <c r="V30" s="513" t="e">
        <f>U30/U29-1</f>
        <v>#DIV/0!</v>
      </c>
      <c r="W30" s="512" t="e">
        <f t="shared" ref="W30:W68" si="5">U30*B30</f>
        <v>#DIV/0!</v>
      </c>
      <c r="X30" s="512" t="e">
        <f>H14-H11</f>
        <v>#DIV/0!</v>
      </c>
    </row>
    <row r="31" spans="2:24" x14ac:dyDescent="0.3">
      <c r="B31" s="601">
        <f t="shared" si="0"/>
        <v>0.8396192830323016</v>
      </c>
      <c r="C31" s="411">
        <v>3</v>
      </c>
      <c r="D31" s="4"/>
      <c r="E31" s="228"/>
      <c r="F31" s="65" t="e">
        <f>F30*(1+$E$19)</f>
        <v>#DIV/0!</v>
      </c>
      <c r="G31" s="65" t="e">
        <f t="shared" si="1"/>
        <v>#DIV/0!</v>
      </c>
      <c r="H31" s="65" t="e">
        <f t="shared" si="2"/>
        <v>#DIV/0!</v>
      </c>
      <c r="I31" s="225"/>
      <c r="J31" s="513"/>
      <c r="K31" s="224">
        <f>K30*(1+$E$11)</f>
        <v>0</v>
      </c>
      <c r="L31" s="65">
        <f t="shared" si="3"/>
        <v>0</v>
      </c>
      <c r="M31" s="227"/>
      <c r="P31" s="513" t="e">
        <f t="shared" ref="P31:P68" si="6">G31/G30-1</f>
        <v>#DIV/0!</v>
      </c>
      <c r="Q31" s="513" t="e">
        <f t="shared" ref="Q31:Q68" si="7">K31/K30-1</f>
        <v>#DIV/0!</v>
      </c>
      <c r="U31" s="512" t="e">
        <f t="shared" si="4"/>
        <v>#DIV/0!</v>
      </c>
      <c r="V31" s="513" t="e">
        <f t="shared" ref="V31:V68" si="8">U31/U30-1</f>
        <v>#DIV/0!</v>
      </c>
      <c r="W31" s="512" t="e">
        <f t="shared" si="5"/>
        <v>#DIV/0!</v>
      </c>
    </row>
    <row r="32" spans="2:24" x14ac:dyDescent="0.3">
      <c r="B32" s="601">
        <f t="shared" si="0"/>
        <v>0.79209366323802044</v>
      </c>
      <c r="C32" s="411">
        <v>4</v>
      </c>
      <c r="D32" s="4"/>
      <c r="E32" s="228"/>
      <c r="F32" s="65" t="e">
        <f t="shared" ref="F32:F68" si="9">F31*(1+$E$19)</f>
        <v>#DIV/0!</v>
      </c>
      <c r="G32" s="65" t="e">
        <f t="shared" si="1"/>
        <v>#DIV/0!</v>
      </c>
      <c r="H32" s="65" t="e">
        <f t="shared" si="2"/>
        <v>#DIV/0!</v>
      </c>
      <c r="I32" s="225"/>
      <c r="J32" s="513"/>
      <c r="K32" s="224">
        <f>K31*(1+$E$12)</f>
        <v>0</v>
      </c>
      <c r="L32" s="65">
        <f t="shared" si="3"/>
        <v>0</v>
      </c>
      <c r="M32" s="227"/>
      <c r="P32" s="513" t="e">
        <f t="shared" si="6"/>
        <v>#DIV/0!</v>
      </c>
      <c r="Q32" s="513" t="e">
        <f t="shared" si="7"/>
        <v>#DIV/0!</v>
      </c>
      <c r="U32" s="512" t="e">
        <f t="shared" si="4"/>
        <v>#DIV/0!</v>
      </c>
      <c r="V32" s="513" t="e">
        <f t="shared" si="8"/>
        <v>#DIV/0!</v>
      </c>
      <c r="W32" s="512" t="e">
        <f t="shared" si="5"/>
        <v>#DIV/0!</v>
      </c>
      <c r="X32" s="512" t="e">
        <f>X28-X30</f>
        <v>#DIV/0!</v>
      </c>
    </row>
    <row r="33" spans="2:23" x14ac:dyDescent="0.3">
      <c r="B33" s="601">
        <f t="shared" si="0"/>
        <v>0.74725817286605689</v>
      </c>
      <c r="C33" s="411">
        <v>5</v>
      </c>
      <c r="D33" s="4"/>
      <c r="E33" s="228"/>
      <c r="F33" s="65" t="e">
        <f t="shared" si="9"/>
        <v>#DIV/0!</v>
      </c>
      <c r="G33" s="65" t="e">
        <f t="shared" si="1"/>
        <v>#DIV/0!</v>
      </c>
      <c r="H33" s="65" t="e">
        <f t="shared" si="2"/>
        <v>#DIV/0!</v>
      </c>
      <c r="I33" s="225"/>
      <c r="J33" s="513"/>
      <c r="K33" s="224">
        <f>K32*(1+$E$13)</f>
        <v>0</v>
      </c>
      <c r="L33" s="65">
        <f t="shared" si="3"/>
        <v>0</v>
      </c>
      <c r="M33" s="227"/>
      <c r="P33" s="513" t="e">
        <f t="shared" si="6"/>
        <v>#DIV/0!</v>
      </c>
      <c r="Q33" s="513" t="e">
        <f t="shared" si="7"/>
        <v>#DIV/0!</v>
      </c>
      <c r="U33" s="512" t="e">
        <f t="shared" si="4"/>
        <v>#DIV/0!</v>
      </c>
      <c r="V33" s="513" t="e">
        <f t="shared" si="8"/>
        <v>#DIV/0!</v>
      </c>
      <c r="W33" s="512" t="e">
        <f t="shared" si="5"/>
        <v>#DIV/0!</v>
      </c>
    </row>
    <row r="34" spans="2:23" x14ac:dyDescent="0.3">
      <c r="B34" s="601">
        <f t="shared" si="0"/>
        <v>0.70496054043967626</v>
      </c>
      <c r="C34" s="411">
        <v>6</v>
      </c>
      <c r="D34" s="4"/>
      <c r="E34" s="228"/>
      <c r="F34" s="65" t="e">
        <f t="shared" si="9"/>
        <v>#DIV/0!</v>
      </c>
      <c r="G34" s="65" t="e">
        <f t="shared" si="1"/>
        <v>#DIV/0!</v>
      </c>
      <c r="H34" s="65" t="e">
        <f t="shared" si="2"/>
        <v>#DIV/0!</v>
      </c>
      <c r="I34" s="225"/>
      <c r="J34" s="513"/>
      <c r="K34" s="224">
        <f t="shared" ref="K34:K68" si="10">K33*(1+$E$13)</f>
        <v>0</v>
      </c>
      <c r="L34" s="65">
        <f t="shared" si="3"/>
        <v>0</v>
      </c>
      <c r="M34" s="227"/>
      <c r="P34" s="513" t="e">
        <f t="shared" si="6"/>
        <v>#DIV/0!</v>
      </c>
      <c r="Q34" s="513" t="e">
        <f t="shared" si="7"/>
        <v>#DIV/0!</v>
      </c>
      <c r="U34" s="512" t="e">
        <f t="shared" si="4"/>
        <v>#DIV/0!</v>
      </c>
      <c r="V34" s="513" t="e">
        <f t="shared" si="8"/>
        <v>#DIV/0!</v>
      </c>
      <c r="W34" s="512" t="e">
        <f t="shared" si="5"/>
        <v>#DIV/0!</v>
      </c>
    </row>
    <row r="35" spans="2:23" x14ac:dyDescent="0.3">
      <c r="B35" s="601">
        <f t="shared" si="0"/>
        <v>0.66505711362233599</v>
      </c>
      <c r="C35" s="411">
        <v>7</v>
      </c>
      <c r="D35" s="4"/>
      <c r="E35" s="228"/>
      <c r="F35" s="65" t="e">
        <f t="shared" si="9"/>
        <v>#DIV/0!</v>
      </c>
      <c r="G35" s="65" t="e">
        <f t="shared" si="1"/>
        <v>#DIV/0!</v>
      </c>
      <c r="H35" s="65" t="e">
        <f t="shared" si="2"/>
        <v>#DIV/0!</v>
      </c>
      <c r="I35" s="225"/>
      <c r="J35" s="513"/>
      <c r="K35" s="224">
        <f t="shared" si="10"/>
        <v>0</v>
      </c>
      <c r="L35" s="65">
        <f t="shared" si="3"/>
        <v>0</v>
      </c>
      <c r="M35" s="227"/>
      <c r="P35" s="513" t="e">
        <f t="shared" si="6"/>
        <v>#DIV/0!</v>
      </c>
      <c r="Q35" s="513" t="e">
        <f t="shared" si="7"/>
        <v>#DIV/0!</v>
      </c>
      <c r="U35" s="512" t="e">
        <f t="shared" si="4"/>
        <v>#DIV/0!</v>
      </c>
      <c r="V35" s="513" t="e">
        <f t="shared" si="8"/>
        <v>#DIV/0!</v>
      </c>
      <c r="W35" s="512" t="e">
        <f t="shared" si="5"/>
        <v>#DIV/0!</v>
      </c>
    </row>
    <row r="36" spans="2:23" x14ac:dyDescent="0.3">
      <c r="B36" s="601">
        <f t="shared" si="0"/>
        <v>0.62741237134182648</v>
      </c>
      <c r="C36" s="411">
        <v>8</v>
      </c>
      <c r="D36" s="4"/>
      <c r="E36" s="228"/>
      <c r="F36" s="65" t="e">
        <f t="shared" si="9"/>
        <v>#DIV/0!</v>
      </c>
      <c r="G36" s="65" t="e">
        <f t="shared" si="1"/>
        <v>#DIV/0!</v>
      </c>
      <c r="H36" s="65" t="e">
        <f t="shared" si="2"/>
        <v>#DIV/0!</v>
      </c>
      <c r="I36" s="225"/>
      <c r="J36" s="513"/>
      <c r="K36" s="224">
        <f t="shared" si="10"/>
        <v>0</v>
      </c>
      <c r="L36" s="65">
        <f t="shared" si="3"/>
        <v>0</v>
      </c>
      <c r="M36" s="227"/>
      <c r="P36" s="513" t="e">
        <f t="shared" si="6"/>
        <v>#DIV/0!</v>
      </c>
      <c r="Q36" s="513" t="e">
        <f t="shared" si="7"/>
        <v>#DIV/0!</v>
      </c>
      <c r="U36" s="512" t="e">
        <f t="shared" si="4"/>
        <v>#DIV/0!</v>
      </c>
      <c r="V36" s="513" t="e">
        <f t="shared" si="8"/>
        <v>#DIV/0!</v>
      </c>
      <c r="W36" s="512" t="e">
        <f t="shared" si="5"/>
        <v>#DIV/0!</v>
      </c>
    </row>
    <row r="37" spans="2:23" x14ac:dyDescent="0.3">
      <c r="B37" s="601">
        <f t="shared" si="0"/>
        <v>0.59189846353002495</v>
      </c>
      <c r="C37" s="411">
        <v>9</v>
      </c>
      <c r="D37" s="4"/>
      <c r="E37" s="228"/>
      <c r="F37" s="65" t="e">
        <f t="shared" si="9"/>
        <v>#DIV/0!</v>
      </c>
      <c r="G37" s="65" t="e">
        <f t="shared" si="1"/>
        <v>#DIV/0!</v>
      </c>
      <c r="H37" s="65" t="e">
        <f t="shared" si="2"/>
        <v>#DIV/0!</v>
      </c>
      <c r="I37" s="225"/>
      <c r="J37" s="513"/>
      <c r="K37" s="224">
        <f t="shared" si="10"/>
        <v>0</v>
      </c>
      <c r="L37" s="65">
        <f t="shared" si="3"/>
        <v>0</v>
      </c>
      <c r="M37" s="227"/>
      <c r="P37" s="513" t="e">
        <f t="shared" si="6"/>
        <v>#DIV/0!</v>
      </c>
      <c r="Q37" s="513" t="e">
        <f t="shared" si="7"/>
        <v>#DIV/0!</v>
      </c>
      <c r="U37" s="512" t="e">
        <f t="shared" si="4"/>
        <v>#DIV/0!</v>
      </c>
      <c r="V37" s="513" t="e">
        <f t="shared" si="8"/>
        <v>#DIV/0!</v>
      </c>
      <c r="W37" s="512" t="e">
        <f t="shared" si="5"/>
        <v>#DIV/0!</v>
      </c>
    </row>
    <row r="38" spans="2:23" x14ac:dyDescent="0.3">
      <c r="B38" s="601">
        <f t="shared" si="0"/>
        <v>0.55839477691511785</v>
      </c>
      <c r="C38" s="411">
        <v>10</v>
      </c>
      <c r="D38" s="4"/>
      <c r="E38" s="228"/>
      <c r="F38" s="65" t="e">
        <f t="shared" si="9"/>
        <v>#DIV/0!</v>
      </c>
      <c r="G38" s="65" t="e">
        <f t="shared" si="1"/>
        <v>#DIV/0!</v>
      </c>
      <c r="H38" s="65" t="e">
        <f t="shared" si="2"/>
        <v>#DIV/0!</v>
      </c>
      <c r="I38" s="225"/>
      <c r="J38" s="513"/>
      <c r="K38" s="224">
        <f t="shared" si="10"/>
        <v>0</v>
      </c>
      <c r="L38" s="65">
        <f t="shared" si="3"/>
        <v>0</v>
      </c>
      <c r="M38" s="227"/>
      <c r="P38" s="513" t="e">
        <f t="shared" si="6"/>
        <v>#DIV/0!</v>
      </c>
      <c r="Q38" s="513" t="e">
        <f t="shared" si="7"/>
        <v>#DIV/0!</v>
      </c>
      <c r="U38" s="512" t="e">
        <f t="shared" si="4"/>
        <v>#DIV/0!</v>
      </c>
      <c r="V38" s="513" t="e">
        <f t="shared" si="8"/>
        <v>#DIV/0!</v>
      </c>
      <c r="W38" s="512" t="e">
        <f t="shared" si="5"/>
        <v>#DIV/0!</v>
      </c>
    </row>
    <row r="39" spans="2:23" x14ac:dyDescent="0.3">
      <c r="B39" s="601">
        <f t="shared" si="0"/>
        <v>0.52678752539162055</v>
      </c>
      <c r="C39" s="411">
        <v>11</v>
      </c>
      <c r="D39" s="4"/>
      <c r="E39" s="228"/>
      <c r="F39" s="65" t="e">
        <f t="shared" si="9"/>
        <v>#DIV/0!</v>
      </c>
      <c r="G39" s="65" t="e">
        <f t="shared" si="1"/>
        <v>#DIV/0!</v>
      </c>
      <c r="H39" s="65" t="e">
        <f t="shared" si="2"/>
        <v>#DIV/0!</v>
      </c>
      <c r="I39" s="225"/>
      <c r="J39" s="513"/>
      <c r="K39" s="224">
        <f t="shared" si="10"/>
        <v>0</v>
      </c>
      <c r="L39" s="65">
        <f t="shared" si="3"/>
        <v>0</v>
      </c>
      <c r="M39" s="227"/>
      <c r="P39" s="513" t="e">
        <f t="shared" si="6"/>
        <v>#DIV/0!</v>
      </c>
      <c r="Q39" s="513" t="e">
        <f t="shared" si="7"/>
        <v>#DIV/0!</v>
      </c>
      <c r="U39" s="512" t="e">
        <f t="shared" si="4"/>
        <v>#DIV/0!</v>
      </c>
      <c r="V39" s="513" t="e">
        <f t="shared" si="8"/>
        <v>#DIV/0!</v>
      </c>
      <c r="W39" s="512" t="e">
        <f t="shared" si="5"/>
        <v>#DIV/0!</v>
      </c>
    </row>
    <row r="40" spans="2:23" x14ac:dyDescent="0.3">
      <c r="B40" s="601">
        <f t="shared" si="0"/>
        <v>0.4969693635770005</v>
      </c>
      <c r="C40" s="411">
        <v>12</v>
      </c>
      <c r="D40" s="4"/>
      <c r="E40" s="228"/>
      <c r="F40" s="65" t="e">
        <f t="shared" si="9"/>
        <v>#DIV/0!</v>
      </c>
      <c r="G40" s="65" t="e">
        <f t="shared" si="1"/>
        <v>#DIV/0!</v>
      </c>
      <c r="H40" s="65" t="e">
        <f t="shared" si="2"/>
        <v>#DIV/0!</v>
      </c>
      <c r="I40" s="225"/>
      <c r="J40" s="513"/>
      <c r="K40" s="224">
        <f t="shared" si="10"/>
        <v>0</v>
      </c>
      <c r="L40" s="65">
        <f t="shared" si="3"/>
        <v>0</v>
      </c>
      <c r="M40" s="32"/>
      <c r="P40" s="513" t="e">
        <f t="shared" si="6"/>
        <v>#DIV/0!</v>
      </c>
      <c r="Q40" s="513" t="e">
        <f t="shared" si="7"/>
        <v>#DIV/0!</v>
      </c>
      <c r="U40" s="512" t="e">
        <f t="shared" si="4"/>
        <v>#DIV/0!</v>
      </c>
      <c r="V40" s="513" t="e">
        <f t="shared" si="8"/>
        <v>#DIV/0!</v>
      </c>
      <c r="W40" s="512" t="e">
        <f t="shared" si="5"/>
        <v>#DIV/0!</v>
      </c>
    </row>
    <row r="41" spans="2:23" x14ac:dyDescent="0.3">
      <c r="B41" s="601">
        <f t="shared" si="0"/>
        <v>0.46883902224245327</v>
      </c>
      <c r="C41" s="411">
        <v>13</v>
      </c>
      <c r="D41" s="4"/>
      <c r="E41" s="228"/>
      <c r="F41" s="65" t="e">
        <f t="shared" si="9"/>
        <v>#DIV/0!</v>
      </c>
      <c r="G41" s="65" t="e">
        <f t="shared" si="1"/>
        <v>#DIV/0!</v>
      </c>
      <c r="H41" s="65" t="e">
        <f t="shared" si="2"/>
        <v>#DIV/0!</v>
      </c>
      <c r="I41" s="225"/>
      <c r="J41" s="513"/>
      <c r="K41" s="224">
        <f t="shared" si="10"/>
        <v>0</v>
      </c>
      <c r="L41" s="65">
        <f t="shared" si="3"/>
        <v>0</v>
      </c>
      <c r="M41" s="32"/>
      <c r="P41" s="513" t="e">
        <f t="shared" si="6"/>
        <v>#DIV/0!</v>
      </c>
      <c r="Q41" s="513" t="e">
        <f t="shared" si="7"/>
        <v>#DIV/0!</v>
      </c>
      <c r="U41" s="512" t="e">
        <f t="shared" si="4"/>
        <v>#DIV/0!</v>
      </c>
      <c r="V41" s="513" t="e">
        <f t="shared" si="8"/>
        <v>#DIV/0!</v>
      </c>
      <c r="W41" s="512" t="e">
        <f t="shared" si="5"/>
        <v>#DIV/0!</v>
      </c>
    </row>
    <row r="42" spans="2:23" x14ac:dyDescent="0.3">
      <c r="B42" s="601">
        <f t="shared" si="0"/>
        <v>0.44230096437967292</v>
      </c>
      <c r="C42" s="411">
        <v>14</v>
      </c>
      <c r="D42" s="4"/>
      <c r="E42" s="228"/>
      <c r="F42" s="65" t="e">
        <f t="shared" si="9"/>
        <v>#DIV/0!</v>
      </c>
      <c r="G42" s="65" t="e">
        <f t="shared" si="1"/>
        <v>#DIV/0!</v>
      </c>
      <c r="H42" s="65" t="e">
        <f t="shared" si="2"/>
        <v>#DIV/0!</v>
      </c>
      <c r="I42" s="225"/>
      <c r="J42" s="513"/>
      <c r="K42" s="224">
        <f t="shared" si="10"/>
        <v>0</v>
      </c>
      <c r="L42" s="65">
        <f t="shared" si="3"/>
        <v>0</v>
      </c>
      <c r="M42" s="32"/>
      <c r="P42" s="513" t="e">
        <f t="shared" si="6"/>
        <v>#DIV/0!</v>
      </c>
      <c r="Q42" s="513" t="e">
        <f t="shared" si="7"/>
        <v>#DIV/0!</v>
      </c>
      <c r="U42" s="512" t="e">
        <f t="shared" si="4"/>
        <v>#DIV/0!</v>
      </c>
      <c r="V42" s="513" t="e">
        <f t="shared" si="8"/>
        <v>#DIV/0!</v>
      </c>
      <c r="W42" s="512" t="e">
        <f t="shared" si="5"/>
        <v>#DIV/0!</v>
      </c>
    </row>
    <row r="43" spans="2:23" x14ac:dyDescent="0.3">
      <c r="B43" s="601">
        <f t="shared" si="0"/>
        <v>0.41726506073554037</v>
      </c>
      <c r="C43" s="411">
        <v>15</v>
      </c>
      <c r="D43" s="4"/>
      <c r="E43" s="228"/>
      <c r="F43" s="65" t="e">
        <f t="shared" si="9"/>
        <v>#DIV/0!</v>
      </c>
      <c r="G43" s="65" t="e">
        <f t="shared" si="1"/>
        <v>#DIV/0!</v>
      </c>
      <c r="H43" s="65" t="e">
        <f t="shared" si="2"/>
        <v>#DIV/0!</v>
      </c>
      <c r="I43" s="225"/>
      <c r="J43" s="513"/>
      <c r="K43" s="224">
        <f t="shared" si="10"/>
        <v>0</v>
      </c>
      <c r="L43" s="65">
        <f t="shared" si="3"/>
        <v>0</v>
      </c>
      <c r="M43" s="32"/>
      <c r="P43" s="513" t="e">
        <f t="shared" si="6"/>
        <v>#DIV/0!</v>
      </c>
      <c r="Q43" s="513" t="e">
        <f t="shared" si="7"/>
        <v>#DIV/0!</v>
      </c>
      <c r="U43" s="512" t="e">
        <f t="shared" si="4"/>
        <v>#DIV/0!</v>
      </c>
      <c r="V43" s="513" t="e">
        <f t="shared" si="8"/>
        <v>#DIV/0!</v>
      </c>
      <c r="W43" s="512" t="e">
        <f t="shared" si="5"/>
        <v>#DIV/0!</v>
      </c>
    </row>
    <row r="44" spans="2:23" x14ac:dyDescent="0.3">
      <c r="B44" s="601">
        <f t="shared" si="0"/>
        <v>0.39364628371277405</v>
      </c>
      <c r="C44" s="411">
        <v>16</v>
      </c>
      <c r="D44" s="4"/>
      <c r="E44" s="228"/>
      <c r="F44" s="65" t="e">
        <f t="shared" si="9"/>
        <v>#DIV/0!</v>
      </c>
      <c r="G44" s="65" t="e">
        <f t="shared" si="1"/>
        <v>#DIV/0!</v>
      </c>
      <c r="H44" s="65" t="e">
        <f t="shared" si="2"/>
        <v>#DIV/0!</v>
      </c>
      <c r="I44" s="225"/>
      <c r="J44" s="513"/>
      <c r="K44" s="224">
        <f t="shared" si="10"/>
        <v>0</v>
      </c>
      <c r="L44" s="65">
        <f t="shared" si="3"/>
        <v>0</v>
      </c>
      <c r="M44" s="32"/>
      <c r="P44" s="513" t="e">
        <f t="shared" si="6"/>
        <v>#DIV/0!</v>
      </c>
      <c r="Q44" s="513" t="e">
        <f t="shared" si="7"/>
        <v>#DIV/0!</v>
      </c>
      <c r="U44" s="512" t="e">
        <f t="shared" si="4"/>
        <v>#DIV/0!</v>
      </c>
      <c r="V44" s="513" t="e">
        <f t="shared" si="8"/>
        <v>#DIV/0!</v>
      </c>
      <c r="W44" s="512" t="e">
        <f t="shared" si="5"/>
        <v>#DIV/0!</v>
      </c>
    </row>
    <row r="45" spans="2:23" x14ac:dyDescent="0.3">
      <c r="B45" s="601">
        <f t="shared" si="0"/>
        <v>0.37136441859695657</v>
      </c>
      <c r="C45" s="411">
        <v>17</v>
      </c>
      <c r="D45" s="4"/>
      <c r="E45" s="228"/>
      <c r="F45" s="65" t="e">
        <f t="shared" si="9"/>
        <v>#DIV/0!</v>
      </c>
      <c r="G45" s="65" t="e">
        <f t="shared" si="1"/>
        <v>#DIV/0!</v>
      </c>
      <c r="H45" s="65" t="e">
        <f t="shared" si="2"/>
        <v>#DIV/0!</v>
      </c>
      <c r="I45" s="225"/>
      <c r="J45" s="513"/>
      <c r="K45" s="224">
        <f t="shared" si="10"/>
        <v>0</v>
      </c>
      <c r="L45" s="65">
        <f t="shared" si="3"/>
        <v>0</v>
      </c>
      <c r="M45" s="32"/>
      <c r="P45" s="513" t="e">
        <f t="shared" si="6"/>
        <v>#DIV/0!</v>
      </c>
      <c r="Q45" s="513" t="e">
        <f t="shared" si="7"/>
        <v>#DIV/0!</v>
      </c>
      <c r="U45" s="512" t="e">
        <f t="shared" si="4"/>
        <v>#DIV/0!</v>
      </c>
      <c r="V45" s="513" t="e">
        <f t="shared" si="8"/>
        <v>#DIV/0!</v>
      </c>
      <c r="W45" s="512" t="e">
        <f t="shared" si="5"/>
        <v>#DIV/0!</v>
      </c>
    </row>
    <row r="46" spans="2:23" x14ac:dyDescent="0.3">
      <c r="B46" s="601">
        <f t="shared" si="0"/>
        <v>0.35034379112920433</v>
      </c>
      <c r="C46" s="411">
        <v>18</v>
      </c>
      <c r="D46" s="4"/>
      <c r="E46" s="228"/>
      <c r="F46" s="65" t="e">
        <f t="shared" si="9"/>
        <v>#DIV/0!</v>
      </c>
      <c r="G46" s="65" t="e">
        <f t="shared" si="1"/>
        <v>#DIV/0!</v>
      </c>
      <c r="H46" s="65" t="e">
        <f t="shared" si="2"/>
        <v>#DIV/0!</v>
      </c>
      <c r="I46" s="225"/>
      <c r="J46" s="513"/>
      <c r="K46" s="224">
        <f t="shared" si="10"/>
        <v>0</v>
      </c>
      <c r="L46" s="65">
        <f t="shared" si="3"/>
        <v>0</v>
      </c>
      <c r="M46" s="32"/>
      <c r="P46" s="513" t="e">
        <f t="shared" si="6"/>
        <v>#DIV/0!</v>
      </c>
      <c r="Q46" s="513" t="e">
        <f t="shared" si="7"/>
        <v>#DIV/0!</v>
      </c>
      <c r="U46" s="512" t="e">
        <f t="shared" si="4"/>
        <v>#DIV/0!</v>
      </c>
      <c r="V46" s="513" t="e">
        <f t="shared" si="8"/>
        <v>#DIV/0!</v>
      </c>
      <c r="W46" s="512" t="e">
        <f t="shared" si="5"/>
        <v>#DIV/0!</v>
      </c>
    </row>
    <row r="47" spans="2:23" x14ac:dyDescent="0.3">
      <c r="B47" s="601">
        <f t="shared" si="0"/>
        <v>0.3305130104992493</v>
      </c>
      <c r="C47" s="411">
        <v>19</v>
      </c>
      <c r="D47" s="4"/>
      <c r="E47" s="228"/>
      <c r="F47" s="65" t="e">
        <f t="shared" si="9"/>
        <v>#DIV/0!</v>
      </c>
      <c r="G47" s="65" t="e">
        <f t="shared" si="1"/>
        <v>#DIV/0!</v>
      </c>
      <c r="H47" s="65" t="e">
        <f t="shared" si="2"/>
        <v>#DIV/0!</v>
      </c>
      <c r="I47" s="225"/>
      <c r="J47" s="513"/>
      <c r="K47" s="224">
        <f t="shared" si="10"/>
        <v>0</v>
      </c>
      <c r="L47" s="65">
        <f t="shared" si="3"/>
        <v>0</v>
      </c>
      <c r="M47" s="32"/>
      <c r="P47" s="513" t="e">
        <f t="shared" si="6"/>
        <v>#DIV/0!</v>
      </c>
      <c r="Q47" s="513" t="e">
        <f t="shared" si="7"/>
        <v>#DIV/0!</v>
      </c>
      <c r="U47" s="512" t="e">
        <f t="shared" si="4"/>
        <v>#DIV/0!</v>
      </c>
      <c r="V47" s="513" t="e">
        <f t="shared" si="8"/>
        <v>#DIV/0!</v>
      </c>
      <c r="W47" s="512" t="e">
        <f t="shared" si="5"/>
        <v>#DIV/0!</v>
      </c>
    </row>
    <row r="48" spans="2:23" x14ac:dyDescent="0.3">
      <c r="B48" s="601">
        <f t="shared" si="0"/>
        <v>0.31180472688608429</v>
      </c>
      <c r="C48" s="411">
        <v>20</v>
      </c>
      <c r="D48" s="4"/>
      <c r="E48" s="228"/>
      <c r="F48" s="65" t="e">
        <f t="shared" si="9"/>
        <v>#DIV/0!</v>
      </c>
      <c r="G48" s="65" t="e">
        <f t="shared" si="1"/>
        <v>#DIV/0!</v>
      </c>
      <c r="H48" s="65" t="e">
        <f t="shared" si="2"/>
        <v>#DIV/0!</v>
      </c>
      <c r="I48" s="225"/>
      <c r="J48" s="513"/>
      <c r="K48" s="224">
        <f t="shared" si="10"/>
        <v>0</v>
      </c>
      <c r="L48" s="65">
        <f t="shared" si="3"/>
        <v>0</v>
      </c>
      <c r="M48" s="32"/>
      <c r="P48" s="513" t="e">
        <f t="shared" si="6"/>
        <v>#DIV/0!</v>
      </c>
      <c r="Q48" s="513" t="e">
        <f t="shared" si="7"/>
        <v>#DIV/0!</v>
      </c>
      <c r="U48" s="512" t="e">
        <f t="shared" si="4"/>
        <v>#DIV/0!</v>
      </c>
      <c r="V48" s="513" t="e">
        <f t="shared" si="8"/>
        <v>#DIV/0!</v>
      </c>
      <c r="W48" s="512" t="e">
        <f t="shared" si="5"/>
        <v>#DIV/0!</v>
      </c>
    </row>
    <row r="49" spans="2:23" x14ac:dyDescent="0.3">
      <c r="B49" s="601">
        <f t="shared" si="0"/>
        <v>0.29415540272272095</v>
      </c>
      <c r="C49" s="411">
        <v>21</v>
      </c>
      <c r="D49" s="4"/>
      <c r="E49" s="228"/>
      <c r="F49" s="65" t="e">
        <f t="shared" si="9"/>
        <v>#DIV/0!</v>
      </c>
      <c r="G49" s="65" t="e">
        <f t="shared" si="1"/>
        <v>#DIV/0!</v>
      </c>
      <c r="H49" s="65" t="e">
        <f t="shared" si="2"/>
        <v>#DIV/0!</v>
      </c>
      <c r="I49" s="225"/>
      <c r="J49" s="513"/>
      <c r="K49" s="224">
        <f t="shared" si="10"/>
        <v>0</v>
      </c>
      <c r="L49" s="65">
        <f t="shared" si="3"/>
        <v>0</v>
      </c>
      <c r="M49" s="32"/>
      <c r="P49" s="513" t="e">
        <f t="shared" si="6"/>
        <v>#DIV/0!</v>
      </c>
      <c r="Q49" s="513" t="e">
        <f t="shared" si="7"/>
        <v>#DIV/0!</v>
      </c>
      <c r="U49" s="512" t="e">
        <f t="shared" si="4"/>
        <v>#DIV/0!</v>
      </c>
      <c r="V49" s="513" t="e">
        <f t="shared" si="8"/>
        <v>#DIV/0!</v>
      </c>
      <c r="W49" s="512" t="e">
        <f t="shared" si="5"/>
        <v>#DIV/0!</v>
      </c>
    </row>
    <row r="50" spans="2:23" x14ac:dyDescent="0.3">
      <c r="B50" s="601">
        <f t="shared" si="0"/>
        <v>0.27750509690822728</v>
      </c>
      <c r="C50" s="411">
        <v>22</v>
      </c>
      <c r="D50" s="4"/>
      <c r="E50" s="228"/>
      <c r="F50" s="65" t="e">
        <f t="shared" si="9"/>
        <v>#DIV/0!</v>
      </c>
      <c r="G50" s="65" t="e">
        <f t="shared" si="1"/>
        <v>#DIV/0!</v>
      </c>
      <c r="H50" s="65" t="e">
        <f t="shared" si="2"/>
        <v>#DIV/0!</v>
      </c>
      <c r="I50" s="225"/>
      <c r="J50" s="513"/>
      <c r="K50" s="224">
        <f t="shared" si="10"/>
        <v>0</v>
      </c>
      <c r="L50" s="65">
        <f t="shared" si="3"/>
        <v>0</v>
      </c>
      <c r="M50" s="32"/>
      <c r="P50" s="513" t="e">
        <f t="shared" si="6"/>
        <v>#DIV/0!</v>
      </c>
      <c r="Q50" s="513" t="e">
        <f t="shared" si="7"/>
        <v>#DIV/0!</v>
      </c>
      <c r="U50" s="512" t="e">
        <f t="shared" si="4"/>
        <v>#DIV/0!</v>
      </c>
      <c r="V50" s="513" t="e">
        <f t="shared" si="8"/>
        <v>#DIV/0!</v>
      </c>
      <c r="W50" s="512" t="e">
        <f t="shared" si="5"/>
        <v>#DIV/0!</v>
      </c>
    </row>
    <row r="51" spans="2:23" x14ac:dyDescent="0.3">
      <c r="B51" s="601">
        <f t="shared" si="0"/>
        <v>0.26179726123417668</v>
      </c>
      <c r="C51" s="411">
        <v>23</v>
      </c>
      <c r="D51" s="4"/>
      <c r="E51" s="228"/>
      <c r="F51" s="65" t="e">
        <f t="shared" si="9"/>
        <v>#DIV/0!</v>
      </c>
      <c r="G51" s="65" t="e">
        <f t="shared" si="1"/>
        <v>#DIV/0!</v>
      </c>
      <c r="H51" s="65" t="e">
        <f t="shared" si="2"/>
        <v>#DIV/0!</v>
      </c>
      <c r="I51" s="225"/>
      <c r="J51" s="513"/>
      <c r="K51" s="224">
        <f t="shared" si="10"/>
        <v>0</v>
      </c>
      <c r="L51" s="65">
        <f t="shared" si="3"/>
        <v>0</v>
      </c>
      <c r="M51" s="32"/>
      <c r="P51" s="513" t="e">
        <f t="shared" si="6"/>
        <v>#DIV/0!</v>
      </c>
      <c r="Q51" s="513" t="e">
        <f t="shared" si="7"/>
        <v>#DIV/0!</v>
      </c>
      <c r="U51" s="512" t="e">
        <f t="shared" si="4"/>
        <v>#DIV/0!</v>
      </c>
      <c r="V51" s="513" t="e">
        <f t="shared" si="8"/>
        <v>#DIV/0!</v>
      </c>
      <c r="W51" s="512" t="e">
        <f t="shared" si="5"/>
        <v>#DIV/0!</v>
      </c>
    </row>
    <row r="52" spans="2:23" x14ac:dyDescent="0.3">
      <c r="B52" s="601">
        <f t="shared" si="0"/>
        <v>0.24697854833412897</v>
      </c>
      <c r="C52" s="411">
        <v>24</v>
      </c>
      <c r="D52" s="4"/>
      <c r="E52" s="228"/>
      <c r="F52" s="65" t="e">
        <f t="shared" si="9"/>
        <v>#DIV/0!</v>
      </c>
      <c r="G52" s="65" t="e">
        <f t="shared" si="1"/>
        <v>#DIV/0!</v>
      </c>
      <c r="H52" s="65" t="e">
        <f t="shared" si="2"/>
        <v>#DIV/0!</v>
      </c>
      <c r="I52" s="225"/>
      <c r="J52" s="513"/>
      <c r="K52" s="224">
        <f t="shared" si="10"/>
        <v>0</v>
      </c>
      <c r="L52" s="65">
        <f t="shared" si="3"/>
        <v>0</v>
      </c>
      <c r="M52" s="32"/>
      <c r="P52" s="513" t="e">
        <f t="shared" si="6"/>
        <v>#DIV/0!</v>
      </c>
      <c r="Q52" s="513" t="e">
        <f t="shared" si="7"/>
        <v>#DIV/0!</v>
      </c>
      <c r="U52" s="512" t="e">
        <f t="shared" si="4"/>
        <v>#DIV/0!</v>
      </c>
      <c r="V52" s="513" t="e">
        <f t="shared" si="8"/>
        <v>#DIV/0!</v>
      </c>
      <c r="W52" s="512" t="e">
        <f t="shared" si="5"/>
        <v>#DIV/0!</v>
      </c>
    </row>
    <row r="53" spans="2:23" x14ac:dyDescent="0.3">
      <c r="B53" s="601">
        <f t="shared" si="0"/>
        <v>0.23299863050389524</v>
      </c>
      <c r="C53" s="411">
        <v>25</v>
      </c>
      <c r="D53" s="4"/>
      <c r="E53" s="228"/>
      <c r="F53" s="65" t="e">
        <f t="shared" si="9"/>
        <v>#DIV/0!</v>
      </c>
      <c r="G53" s="65" t="e">
        <f t="shared" si="1"/>
        <v>#DIV/0!</v>
      </c>
      <c r="H53" s="65" t="e">
        <f t="shared" si="2"/>
        <v>#DIV/0!</v>
      </c>
      <c r="I53" s="225"/>
      <c r="J53" s="513"/>
      <c r="K53" s="224">
        <f t="shared" si="10"/>
        <v>0</v>
      </c>
      <c r="L53" s="65">
        <f t="shared" si="3"/>
        <v>0</v>
      </c>
      <c r="M53" s="32"/>
      <c r="P53" s="513" t="e">
        <f t="shared" si="6"/>
        <v>#DIV/0!</v>
      </c>
      <c r="Q53" s="513" t="e">
        <f t="shared" si="7"/>
        <v>#DIV/0!</v>
      </c>
      <c r="U53" s="512" t="e">
        <f t="shared" si="4"/>
        <v>#DIV/0!</v>
      </c>
      <c r="V53" s="513" t="e">
        <f t="shared" si="8"/>
        <v>#DIV/0!</v>
      </c>
      <c r="W53" s="512" t="e">
        <f t="shared" si="5"/>
        <v>#DIV/0!</v>
      </c>
    </row>
    <row r="54" spans="2:23" x14ac:dyDescent="0.3">
      <c r="B54" s="601">
        <f t="shared" si="0"/>
        <v>0.21981002877725966</v>
      </c>
      <c r="C54" s="411">
        <v>26</v>
      </c>
      <c r="D54" s="4"/>
      <c r="E54" s="228"/>
      <c r="F54" s="65" t="e">
        <f t="shared" si="9"/>
        <v>#DIV/0!</v>
      </c>
      <c r="G54" s="65" t="e">
        <f t="shared" si="1"/>
        <v>#DIV/0!</v>
      </c>
      <c r="H54" s="65" t="e">
        <f t="shared" si="2"/>
        <v>#DIV/0!</v>
      </c>
      <c r="I54" s="225"/>
      <c r="J54" s="513"/>
      <c r="K54" s="224">
        <f t="shared" si="10"/>
        <v>0</v>
      </c>
      <c r="L54" s="65">
        <f t="shared" si="3"/>
        <v>0</v>
      </c>
      <c r="M54" s="32"/>
      <c r="P54" s="513" t="e">
        <f t="shared" si="6"/>
        <v>#DIV/0!</v>
      </c>
      <c r="Q54" s="513" t="e">
        <f t="shared" si="7"/>
        <v>#DIV/0!</v>
      </c>
      <c r="U54" s="512" t="e">
        <f t="shared" si="4"/>
        <v>#DIV/0!</v>
      </c>
      <c r="V54" s="513" t="e">
        <f t="shared" si="8"/>
        <v>#DIV/0!</v>
      </c>
      <c r="W54" s="512" t="e">
        <f t="shared" si="5"/>
        <v>#DIV/0!</v>
      </c>
    </row>
    <row r="55" spans="2:23" x14ac:dyDescent="0.3">
      <c r="B55" s="601">
        <f t="shared" si="0"/>
        <v>0.20736795167666003</v>
      </c>
      <c r="C55" s="411">
        <v>27</v>
      </c>
      <c r="D55" s="4"/>
      <c r="E55" s="228"/>
      <c r="F55" s="65" t="e">
        <f t="shared" si="9"/>
        <v>#DIV/0!</v>
      </c>
      <c r="G55" s="65" t="e">
        <f t="shared" si="1"/>
        <v>#DIV/0!</v>
      </c>
      <c r="H55" s="65" t="e">
        <f t="shared" si="2"/>
        <v>#DIV/0!</v>
      </c>
      <c r="I55" s="225"/>
      <c r="J55" s="513"/>
      <c r="K55" s="224">
        <f t="shared" si="10"/>
        <v>0</v>
      </c>
      <c r="L55" s="65">
        <f t="shared" si="3"/>
        <v>0</v>
      </c>
      <c r="M55" s="32"/>
      <c r="P55" s="513" t="e">
        <f t="shared" si="6"/>
        <v>#DIV/0!</v>
      </c>
      <c r="Q55" s="513" t="e">
        <f t="shared" si="7"/>
        <v>#DIV/0!</v>
      </c>
      <c r="U55" s="512" t="e">
        <f t="shared" si="4"/>
        <v>#DIV/0!</v>
      </c>
      <c r="V55" s="513" t="e">
        <f t="shared" si="8"/>
        <v>#DIV/0!</v>
      </c>
      <c r="W55" s="512" t="e">
        <f t="shared" si="5"/>
        <v>#DIV/0!</v>
      </c>
    </row>
    <row r="56" spans="2:23" x14ac:dyDescent="0.3">
      <c r="B56" s="601">
        <f t="shared" si="0"/>
        <v>0.1956301430911887</v>
      </c>
      <c r="C56" s="411">
        <v>28</v>
      </c>
      <c r="D56" s="4"/>
      <c r="E56" s="228"/>
      <c r="F56" s="65" t="e">
        <f t="shared" si="9"/>
        <v>#DIV/0!</v>
      </c>
      <c r="G56" s="65" t="e">
        <f t="shared" si="1"/>
        <v>#DIV/0!</v>
      </c>
      <c r="H56" s="65" t="e">
        <f t="shared" si="2"/>
        <v>#DIV/0!</v>
      </c>
      <c r="I56" s="225"/>
      <c r="J56" s="513"/>
      <c r="K56" s="224">
        <f t="shared" si="10"/>
        <v>0</v>
      </c>
      <c r="L56" s="65">
        <f t="shared" si="3"/>
        <v>0</v>
      </c>
      <c r="M56" s="32"/>
      <c r="P56" s="513" t="e">
        <f t="shared" si="6"/>
        <v>#DIV/0!</v>
      </c>
      <c r="Q56" s="513" t="e">
        <f t="shared" si="7"/>
        <v>#DIV/0!</v>
      </c>
      <c r="U56" s="512" t="e">
        <f t="shared" si="4"/>
        <v>#DIV/0!</v>
      </c>
      <c r="V56" s="513" t="e">
        <f t="shared" si="8"/>
        <v>#DIV/0!</v>
      </c>
      <c r="W56" s="512" t="e">
        <f t="shared" si="5"/>
        <v>#DIV/0!</v>
      </c>
    </row>
    <row r="57" spans="2:23" x14ac:dyDescent="0.3">
      <c r="B57" s="601">
        <f t="shared" si="0"/>
        <v>0.18455673876527234</v>
      </c>
      <c r="C57" s="411">
        <v>29</v>
      </c>
      <c r="D57" s="4"/>
      <c r="E57" s="228"/>
      <c r="F57" s="65" t="e">
        <f t="shared" si="9"/>
        <v>#DIV/0!</v>
      </c>
      <c r="G57" s="65" t="e">
        <f t="shared" si="1"/>
        <v>#DIV/0!</v>
      </c>
      <c r="H57" s="65" t="e">
        <f t="shared" si="2"/>
        <v>#DIV/0!</v>
      </c>
      <c r="I57" s="225"/>
      <c r="J57" s="513"/>
      <c r="K57" s="224">
        <f t="shared" si="10"/>
        <v>0</v>
      </c>
      <c r="L57" s="65">
        <f t="shared" si="3"/>
        <v>0</v>
      </c>
      <c r="M57" s="32"/>
      <c r="P57" s="513" t="e">
        <f t="shared" si="6"/>
        <v>#DIV/0!</v>
      </c>
      <c r="Q57" s="513" t="e">
        <f t="shared" si="7"/>
        <v>#DIV/0!</v>
      </c>
      <c r="U57" s="512" t="e">
        <f t="shared" si="4"/>
        <v>#DIV/0!</v>
      </c>
      <c r="V57" s="513" t="e">
        <f t="shared" si="8"/>
        <v>#DIV/0!</v>
      </c>
      <c r="W57" s="512" t="e">
        <f t="shared" si="5"/>
        <v>#DIV/0!</v>
      </c>
    </row>
    <row r="58" spans="2:23" x14ac:dyDescent="0.3">
      <c r="B58" s="601">
        <f t="shared" si="0"/>
        <v>0.17411013091063426</v>
      </c>
      <c r="C58" s="411">
        <v>30</v>
      </c>
      <c r="D58" s="4"/>
      <c r="E58" s="228"/>
      <c r="F58" s="65" t="e">
        <f t="shared" si="9"/>
        <v>#DIV/0!</v>
      </c>
      <c r="G58" s="65" t="e">
        <f t="shared" si="1"/>
        <v>#DIV/0!</v>
      </c>
      <c r="H58" s="65" t="e">
        <f t="shared" si="2"/>
        <v>#DIV/0!</v>
      </c>
      <c r="I58" s="225"/>
      <c r="J58" s="513"/>
      <c r="K58" s="224">
        <f t="shared" si="10"/>
        <v>0</v>
      </c>
      <c r="L58" s="65">
        <f t="shared" si="3"/>
        <v>0</v>
      </c>
      <c r="M58" s="32"/>
      <c r="P58" s="513" t="e">
        <f t="shared" si="6"/>
        <v>#DIV/0!</v>
      </c>
      <c r="Q58" s="513" t="e">
        <f t="shared" si="7"/>
        <v>#DIV/0!</v>
      </c>
      <c r="U58" s="512" t="e">
        <f t="shared" si="4"/>
        <v>#DIV/0!</v>
      </c>
      <c r="V58" s="513" t="e">
        <f t="shared" si="8"/>
        <v>#DIV/0!</v>
      </c>
      <c r="W58" s="512" t="e">
        <f t="shared" si="5"/>
        <v>#DIV/0!</v>
      </c>
    </row>
    <row r="59" spans="2:23" x14ac:dyDescent="0.3">
      <c r="B59" s="601">
        <f t="shared" si="0"/>
        <v>0.16425484048173042</v>
      </c>
      <c r="C59" s="411">
        <v>31</v>
      </c>
      <c r="D59" s="4"/>
      <c r="E59" s="228"/>
      <c r="F59" s="65" t="e">
        <f t="shared" si="9"/>
        <v>#DIV/0!</v>
      </c>
      <c r="G59" s="65" t="e">
        <f t="shared" si="1"/>
        <v>#DIV/0!</v>
      </c>
      <c r="H59" s="65" t="e">
        <f t="shared" si="2"/>
        <v>#DIV/0!</v>
      </c>
      <c r="I59" s="225"/>
      <c r="J59" s="513"/>
      <c r="K59" s="224">
        <f t="shared" si="10"/>
        <v>0</v>
      </c>
      <c r="L59" s="65">
        <f t="shared" si="3"/>
        <v>0</v>
      </c>
      <c r="M59" s="32"/>
      <c r="P59" s="513" t="e">
        <f t="shared" si="6"/>
        <v>#DIV/0!</v>
      </c>
      <c r="Q59" s="513" t="e">
        <f t="shared" si="7"/>
        <v>#DIV/0!</v>
      </c>
      <c r="U59" s="512" t="e">
        <f t="shared" si="4"/>
        <v>#DIV/0!</v>
      </c>
      <c r="V59" s="513" t="e">
        <f t="shared" si="8"/>
        <v>#DIV/0!</v>
      </c>
      <c r="W59" s="512" t="e">
        <f t="shared" si="5"/>
        <v>#DIV/0!</v>
      </c>
    </row>
    <row r="60" spans="2:23" x14ac:dyDescent="0.3">
      <c r="B60" s="601">
        <f t="shared" si="0"/>
        <v>0.15495739668087777</v>
      </c>
      <c r="C60" s="411">
        <v>32</v>
      </c>
      <c r="D60" s="4"/>
      <c r="E60" s="228"/>
      <c r="F60" s="65" t="e">
        <f t="shared" si="9"/>
        <v>#DIV/0!</v>
      </c>
      <c r="G60" s="65" t="e">
        <f t="shared" si="1"/>
        <v>#DIV/0!</v>
      </c>
      <c r="H60" s="65" t="e">
        <f t="shared" si="2"/>
        <v>#DIV/0!</v>
      </c>
      <c r="I60" s="225"/>
      <c r="J60" s="513"/>
      <c r="K60" s="224">
        <f t="shared" si="10"/>
        <v>0</v>
      </c>
      <c r="L60" s="65">
        <f t="shared" si="3"/>
        <v>0</v>
      </c>
      <c r="M60" s="32"/>
      <c r="P60" s="513" t="e">
        <f t="shared" si="6"/>
        <v>#DIV/0!</v>
      </c>
      <c r="Q60" s="513" t="e">
        <f t="shared" si="7"/>
        <v>#DIV/0!</v>
      </c>
      <c r="U60" s="512" t="e">
        <f t="shared" si="4"/>
        <v>#DIV/0!</v>
      </c>
      <c r="V60" s="513" t="e">
        <f t="shared" si="8"/>
        <v>#DIV/0!</v>
      </c>
      <c r="W60" s="512" t="e">
        <f t="shared" si="5"/>
        <v>#DIV/0!</v>
      </c>
    </row>
    <row r="61" spans="2:23" x14ac:dyDescent="0.3">
      <c r="B61" s="601">
        <f t="shared" si="0"/>
        <v>0.14618622328384695</v>
      </c>
      <c r="C61" s="411">
        <v>33</v>
      </c>
      <c r="D61" s="4"/>
      <c r="E61" s="228"/>
      <c r="F61" s="65" t="e">
        <f t="shared" si="9"/>
        <v>#DIV/0!</v>
      </c>
      <c r="G61" s="65" t="e">
        <f t="shared" si="1"/>
        <v>#DIV/0!</v>
      </c>
      <c r="H61" s="65" t="e">
        <f t="shared" si="2"/>
        <v>#DIV/0!</v>
      </c>
      <c r="I61" s="225"/>
      <c r="J61" s="513"/>
      <c r="K61" s="224">
        <f t="shared" si="10"/>
        <v>0</v>
      </c>
      <c r="L61" s="65">
        <f t="shared" si="3"/>
        <v>0</v>
      </c>
      <c r="M61" s="32"/>
      <c r="P61" s="513" t="e">
        <f t="shared" si="6"/>
        <v>#DIV/0!</v>
      </c>
      <c r="Q61" s="513" t="e">
        <f t="shared" si="7"/>
        <v>#DIV/0!</v>
      </c>
      <c r="U61" s="512" t="e">
        <f t="shared" si="4"/>
        <v>#DIV/0!</v>
      </c>
      <c r="V61" s="513" t="e">
        <f t="shared" si="8"/>
        <v>#DIV/0!</v>
      </c>
      <c r="W61" s="512" t="e">
        <f t="shared" si="5"/>
        <v>#DIV/0!</v>
      </c>
    </row>
    <row r="62" spans="2:23" x14ac:dyDescent="0.3">
      <c r="B62" s="601">
        <f t="shared" si="0"/>
        <v>0.1379115313998556</v>
      </c>
      <c r="C62" s="411">
        <v>34</v>
      </c>
      <c r="D62" s="4"/>
      <c r="E62" s="228"/>
      <c r="F62" s="65" t="e">
        <f t="shared" si="9"/>
        <v>#DIV/0!</v>
      </c>
      <c r="G62" s="65" t="e">
        <f t="shared" si="1"/>
        <v>#DIV/0!</v>
      </c>
      <c r="H62" s="65" t="e">
        <f t="shared" si="2"/>
        <v>#DIV/0!</v>
      </c>
      <c r="I62" s="225"/>
      <c r="J62" s="513"/>
      <c r="K62" s="224">
        <f t="shared" si="10"/>
        <v>0</v>
      </c>
      <c r="L62" s="65">
        <f t="shared" si="3"/>
        <v>0</v>
      </c>
      <c r="M62" s="32"/>
      <c r="P62" s="513" t="e">
        <f t="shared" si="6"/>
        <v>#DIV/0!</v>
      </c>
      <c r="Q62" s="513" t="e">
        <f t="shared" si="7"/>
        <v>#DIV/0!</v>
      </c>
      <c r="U62" s="512" t="e">
        <f t="shared" si="4"/>
        <v>#DIV/0!</v>
      </c>
      <c r="V62" s="513" t="e">
        <f t="shared" si="8"/>
        <v>#DIV/0!</v>
      </c>
      <c r="W62" s="512" t="e">
        <f t="shared" si="5"/>
        <v>#DIV/0!</v>
      </c>
    </row>
    <row r="63" spans="2:23" x14ac:dyDescent="0.3">
      <c r="B63" s="601">
        <f t="shared" si="0"/>
        <v>0.13010521830175056</v>
      </c>
      <c r="C63" s="411">
        <v>35</v>
      </c>
      <c r="D63" s="4"/>
      <c r="E63" s="228"/>
      <c r="F63" s="65" t="e">
        <f t="shared" si="9"/>
        <v>#DIV/0!</v>
      </c>
      <c r="G63" s="65" t="e">
        <f t="shared" si="1"/>
        <v>#DIV/0!</v>
      </c>
      <c r="H63" s="65" t="e">
        <f t="shared" si="2"/>
        <v>#DIV/0!</v>
      </c>
      <c r="I63" s="225"/>
      <c r="J63" s="513"/>
      <c r="K63" s="224">
        <f t="shared" si="10"/>
        <v>0</v>
      </c>
      <c r="L63" s="65">
        <f t="shared" si="3"/>
        <v>0</v>
      </c>
      <c r="M63" s="32"/>
      <c r="P63" s="513" t="e">
        <f t="shared" si="6"/>
        <v>#DIV/0!</v>
      </c>
      <c r="Q63" s="513" t="e">
        <f t="shared" si="7"/>
        <v>#DIV/0!</v>
      </c>
      <c r="U63" s="512" t="e">
        <f t="shared" si="4"/>
        <v>#DIV/0!</v>
      </c>
      <c r="V63" s="513" t="e">
        <f t="shared" si="8"/>
        <v>#DIV/0!</v>
      </c>
      <c r="W63" s="512" t="e">
        <f t="shared" si="5"/>
        <v>#DIV/0!</v>
      </c>
    </row>
    <row r="64" spans="2:23" x14ac:dyDescent="0.3">
      <c r="B64" s="601">
        <f t="shared" si="0"/>
        <v>0.12274077198278353</v>
      </c>
      <c r="C64" s="411">
        <v>36</v>
      </c>
      <c r="D64" s="4"/>
      <c r="E64" s="228"/>
      <c r="F64" s="65" t="e">
        <f t="shared" si="9"/>
        <v>#DIV/0!</v>
      </c>
      <c r="G64" s="65" t="e">
        <f t="shared" si="1"/>
        <v>#DIV/0!</v>
      </c>
      <c r="H64" s="65" t="e">
        <f t="shared" si="2"/>
        <v>#DIV/0!</v>
      </c>
      <c r="I64" s="225"/>
      <c r="J64" s="513"/>
      <c r="K64" s="224">
        <f t="shared" si="10"/>
        <v>0</v>
      </c>
      <c r="L64" s="65">
        <f t="shared" si="3"/>
        <v>0</v>
      </c>
      <c r="M64" s="32"/>
      <c r="P64" s="513" t="e">
        <f t="shared" si="6"/>
        <v>#DIV/0!</v>
      </c>
      <c r="Q64" s="513" t="e">
        <f t="shared" si="7"/>
        <v>#DIV/0!</v>
      </c>
      <c r="U64" s="512" t="e">
        <f t="shared" si="4"/>
        <v>#DIV/0!</v>
      </c>
      <c r="V64" s="513" t="e">
        <f t="shared" si="8"/>
        <v>#DIV/0!</v>
      </c>
      <c r="W64" s="512" t="e">
        <f t="shared" si="5"/>
        <v>#DIV/0!</v>
      </c>
    </row>
    <row r="65" spans="2:23" x14ac:dyDescent="0.3">
      <c r="B65" s="601">
        <f t="shared" si="0"/>
        <v>0.11579318111583352</v>
      </c>
      <c r="C65" s="411">
        <v>37</v>
      </c>
      <c r="D65" s="4"/>
      <c r="E65" s="228"/>
      <c r="F65" s="65" t="e">
        <f t="shared" si="9"/>
        <v>#DIV/0!</v>
      </c>
      <c r="G65" s="65" t="e">
        <f t="shared" si="1"/>
        <v>#DIV/0!</v>
      </c>
      <c r="H65" s="65" t="e">
        <f t="shared" si="2"/>
        <v>#DIV/0!</v>
      </c>
      <c r="I65" s="225"/>
      <c r="J65" s="513"/>
      <c r="K65" s="224">
        <f t="shared" si="10"/>
        <v>0</v>
      </c>
      <c r="L65" s="65">
        <f t="shared" si="3"/>
        <v>0</v>
      </c>
      <c r="M65" s="32"/>
      <c r="P65" s="513" t="e">
        <f t="shared" si="6"/>
        <v>#DIV/0!</v>
      </c>
      <c r="Q65" s="513" t="e">
        <f t="shared" si="7"/>
        <v>#DIV/0!</v>
      </c>
      <c r="U65" s="512" t="e">
        <f t="shared" si="4"/>
        <v>#DIV/0!</v>
      </c>
      <c r="V65" s="513" t="e">
        <f t="shared" si="8"/>
        <v>#DIV/0!</v>
      </c>
      <c r="W65" s="512" t="e">
        <f t="shared" si="5"/>
        <v>#DIV/0!</v>
      </c>
    </row>
    <row r="66" spans="2:23" x14ac:dyDescent="0.3">
      <c r="B66" s="601">
        <f t="shared" si="0"/>
        <v>0.10923885010927689</v>
      </c>
      <c r="C66" s="411">
        <v>38</v>
      </c>
      <c r="D66" s="4"/>
      <c r="E66" s="228"/>
      <c r="F66" s="65" t="e">
        <f t="shared" si="9"/>
        <v>#DIV/0!</v>
      </c>
      <c r="G66" s="65" t="e">
        <f t="shared" si="1"/>
        <v>#DIV/0!</v>
      </c>
      <c r="H66" s="65" t="e">
        <f t="shared" si="2"/>
        <v>#DIV/0!</v>
      </c>
      <c r="I66" s="225"/>
      <c r="J66" s="513"/>
      <c r="K66" s="224">
        <f t="shared" si="10"/>
        <v>0</v>
      </c>
      <c r="L66" s="65">
        <f t="shared" si="3"/>
        <v>0</v>
      </c>
      <c r="M66" s="32"/>
      <c r="P66" s="513" t="e">
        <f t="shared" si="6"/>
        <v>#DIV/0!</v>
      </c>
      <c r="Q66" s="513" t="e">
        <f t="shared" si="7"/>
        <v>#DIV/0!</v>
      </c>
      <c r="U66" s="512" t="e">
        <f t="shared" si="4"/>
        <v>#DIV/0!</v>
      </c>
      <c r="V66" s="513" t="e">
        <f t="shared" si="8"/>
        <v>#DIV/0!</v>
      </c>
      <c r="W66" s="512" t="e">
        <f t="shared" si="5"/>
        <v>#DIV/0!</v>
      </c>
    </row>
    <row r="67" spans="2:23" x14ac:dyDescent="0.3">
      <c r="B67" s="601">
        <f t="shared" si="0"/>
        <v>0.10305551897101592</v>
      </c>
      <c r="C67" s="411">
        <v>39</v>
      </c>
      <c r="D67" s="4"/>
      <c r="E67" s="228"/>
      <c r="F67" s="65" t="e">
        <f t="shared" si="9"/>
        <v>#DIV/0!</v>
      </c>
      <c r="G67" s="65" t="e">
        <f t="shared" si="1"/>
        <v>#DIV/0!</v>
      </c>
      <c r="H67" s="65" t="e">
        <f t="shared" si="2"/>
        <v>#DIV/0!</v>
      </c>
      <c r="I67" s="225"/>
      <c r="J67" s="513"/>
      <c r="K67" s="224">
        <f t="shared" si="10"/>
        <v>0</v>
      </c>
      <c r="L67" s="65">
        <f t="shared" si="3"/>
        <v>0</v>
      </c>
      <c r="M67" s="32"/>
      <c r="P67" s="513" t="e">
        <f t="shared" si="6"/>
        <v>#DIV/0!</v>
      </c>
      <c r="Q67" s="513" t="e">
        <f t="shared" si="7"/>
        <v>#DIV/0!</v>
      </c>
      <c r="U67" s="512" t="e">
        <f t="shared" si="4"/>
        <v>#DIV/0!</v>
      </c>
      <c r="V67" s="513" t="e">
        <f t="shared" si="8"/>
        <v>#DIV/0!</v>
      </c>
      <c r="W67" s="512" t="e">
        <f t="shared" si="5"/>
        <v>#DIV/0!</v>
      </c>
    </row>
    <row r="68" spans="2:23" x14ac:dyDescent="0.3">
      <c r="B68" s="601">
        <f t="shared" si="0"/>
        <v>9.7222187708505589E-2</v>
      </c>
      <c r="C68" s="411">
        <v>40</v>
      </c>
      <c r="D68" s="33"/>
      <c r="E68" s="229"/>
      <c r="F68" s="230" t="e">
        <f t="shared" si="9"/>
        <v>#DIV/0!</v>
      </c>
      <c r="G68" s="230" t="e">
        <f t="shared" si="1"/>
        <v>#DIV/0!</v>
      </c>
      <c r="H68" s="230" t="e">
        <f t="shared" si="2"/>
        <v>#DIV/0!</v>
      </c>
      <c r="I68" s="35"/>
      <c r="J68" s="513"/>
      <c r="K68" s="602">
        <f t="shared" si="10"/>
        <v>0</v>
      </c>
      <c r="L68" s="230">
        <f t="shared" si="3"/>
        <v>0</v>
      </c>
      <c r="M68" s="35"/>
      <c r="P68" s="513" t="e">
        <f t="shared" si="6"/>
        <v>#DIV/0!</v>
      </c>
      <c r="Q68" s="513" t="e">
        <f t="shared" si="7"/>
        <v>#DIV/0!</v>
      </c>
      <c r="U68" s="512" t="e">
        <f t="shared" si="4"/>
        <v>#DIV/0!</v>
      </c>
      <c r="V68" s="513" t="e">
        <f t="shared" si="8"/>
        <v>#DIV/0!</v>
      </c>
      <c r="W68" s="512" t="e">
        <f t="shared" si="5"/>
        <v>#DIV/0!</v>
      </c>
    </row>
    <row r="69" spans="2:23" x14ac:dyDescent="0.3"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2:23" s="70" customFormat="1" x14ac:dyDescent="0.3"/>
    <row r="71" spans="2:23" s="70" customFormat="1" x14ac:dyDescent="0.3"/>
    <row r="72" spans="2:23" s="70" customFormat="1" x14ac:dyDescent="0.3"/>
    <row r="73" spans="2:23" s="70" customFormat="1" x14ac:dyDescent="0.3"/>
    <row r="74" spans="2:23" s="70" customFormat="1" x14ac:dyDescent="0.3"/>
    <row r="75" spans="2:23" s="70" customFormat="1" x14ac:dyDescent="0.3"/>
    <row r="76" spans="2:23" s="70" customFormat="1" x14ac:dyDescent="0.3"/>
    <row r="77" spans="2:23" s="70" customFormat="1" x14ac:dyDescent="0.3"/>
    <row r="78" spans="2:23" s="70" customFormat="1" x14ac:dyDescent="0.3"/>
    <row r="79" spans="2:23" s="70" customFormat="1" x14ac:dyDescent="0.3"/>
    <row r="80" spans="2:23" s="70" customFormat="1" x14ac:dyDescent="0.3"/>
    <row r="81" s="70" customFormat="1" x14ac:dyDescent="0.3"/>
    <row r="82" s="70" customFormat="1" x14ac:dyDescent="0.3"/>
    <row r="83" s="70" customFormat="1" x14ac:dyDescent="0.3"/>
    <row r="84" s="70" customFormat="1" x14ac:dyDescent="0.3"/>
    <row r="85" s="70" customFormat="1" x14ac:dyDescent="0.3"/>
    <row r="86" s="70" customFormat="1" x14ac:dyDescent="0.3"/>
    <row r="87" s="70" customFormat="1" x14ac:dyDescent="0.3"/>
    <row r="88" s="70" customFormat="1" x14ac:dyDescent="0.3"/>
    <row r="89" s="70" customFormat="1" x14ac:dyDescent="0.3"/>
    <row r="90" s="70" customFormat="1" x14ac:dyDescent="0.3"/>
    <row r="91" s="70" customFormat="1" x14ac:dyDescent="0.3"/>
    <row r="92" s="70" customFormat="1" x14ac:dyDescent="0.3"/>
    <row r="93" s="70" customFormat="1" x14ac:dyDescent="0.3"/>
    <row r="94" s="70" customFormat="1" x14ac:dyDescent="0.3"/>
    <row r="95" s="70" customFormat="1" x14ac:dyDescent="0.3"/>
    <row r="96" s="70" customFormat="1" x14ac:dyDescent="0.3"/>
    <row r="97" s="70" customFormat="1" x14ac:dyDescent="0.3"/>
    <row r="98" s="70" customFormat="1" x14ac:dyDescent="0.3"/>
    <row r="99" s="70" customFormat="1" x14ac:dyDescent="0.3"/>
    <row r="100" s="70" customFormat="1" x14ac:dyDescent="0.3"/>
    <row r="101" s="70" customFormat="1" x14ac:dyDescent="0.3"/>
    <row r="102" s="70" customFormat="1" x14ac:dyDescent="0.3"/>
    <row r="103" s="70" customFormat="1" x14ac:dyDescent="0.3"/>
    <row r="104" s="70" customFormat="1" x14ac:dyDescent="0.3"/>
    <row r="105" s="70" customFormat="1" x14ac:dyDescent="0.3"/>
    <row r="106" s="70" customFormat="1" x14ac:dyDescent="0.3"/>
    <row r="107" s="70" customFormat="1" x14ac:dyDescent="0.3"/>
    <row r="108" s="70" customFormat="1" x14ac:dyDescent="0.3"/>
    <row r="109" s="70" customFormat="1" x14ac:dyDescent="0.3"/>
    <row r="110" s="70" customFormat="1" x14ac:dyDescent="0.3"/>
    <row r="111" s="70" customFormat="1" x14ac:dyDescent="0.3"/>
    <row r="112" s="70" customFormat="1" x14ac:dyDescent="0.3"/>
    <row r="113" s="70" customFormat="1" x14ac:dyDescent="0.3"/>
    <row r="114" s="70" customFormat="1" x14ac:dyDescent="0.3"/>
    <row r="115" s="70" customFormat="1" x14ac:dyDescent="0.3"/>
    <row r="116" s="70" customFormat="1" x14ac:dyDescent="0.3"/>
    <row r="117" s="70" customFormat="1" x14ac:dyDescent="0.3"/>
    <row r="118" s="70" customFormat="1" x14ac:dyDescent="0.3"/>
    <row r="119" s="70" customFormat="1" x14ac:dyDescent="0.3"/>
    <row r="120" s="70" customFormat="1" x14ac:dyDescent="0.3"/>
    <row r="121" s="70" customFormat="1" x14ac:dyDescent="0.3"/>
    <row r="122" s="70" customFormat="1" x14ac:dyDescent="0.3"/>
    <row r="123" s="70" customFormat="1" x14ac:dyDescent="0.3"/>
    <row r="124" s="70" customFormat="1" x14ac:dyDescent="0.3"/>
    <row r="125" s="70" customFormat="1" x14ac:dyDescent="0.3"/>
    <row r="126" s="70" customFormat="1" x14ac:dyDescent="0.3"/>
    <row r="127" s="70" customFormat="1" x14ac:dyDescent="0.3"/>
    <row r="128" s="70" customFormat="1" x14ac:dyDescent="0.3"/>
    <row r="129" s="70" customFormat="1" x14ac:dyDescent="0.3"/>
    <row r="130" s="70" customFormat="1" x14ac:dyDescent="0.3"/>
    <row r="131" s="70" customFormat="1" x14ac:dyDescent="0.3"/>
    <row r="132" s="70" customFormat="1" x14ac:dyDescent="0.3"/>
    <row r="133" s="70" customFormat="1" x14ac:dyDescent="0.3"/>
    <row r="134" s="70" customFormat="1" x14ac:dyDescent="0.3"/>
    <row r="135" s="70" customFormat="1" x14ac:dyDescent="0.3"/>
    <row r="136" s="70" customFormat="1" x14ac:dyDescent="0.3"/>
    <row r="137" s="70" customFormat="1" x14ac:dyDescent="0.3"/>
    <row r="138" s="70" customFormat="1" x14ac:dyDescent="0.3"/>
    <row r="139" s="70" customFormat="1" x14ac:dyDescent="0.3"/>
    <row r="140" s="70" customFormat="1" x14ac:dyDescent="0.3"/>
    <row r="141" s="70" customFormat="1" x14ac:dyDescent="0.3"/>
    <row r="142" s="70" customFormat="1" x14ac:dyDescent="0.3"/>
    <row r="143" s="70" customFormat="1" x14ac:dyDescent="0.3"/>
    <row r="144" s="70" customFormat="1" x14ac:dyDescent="0.3"/>
    <row r="145" s="70" customFormat="1" x14ac:dyDescent="0.3"/>
    <row r="146" s="70" customFormat="1" x14ac:dyDescent="0.3"/>
    <row r="147" s="70" customFormat="1" x14ac:dyDescent="0.3"/>
    <row r="148" s="70" customFormat="1" x14ac:dyDescent="0.3"/>
    <row r="149" s="70" customFormat="1" x14ac:dyDescent="0.3"/>
    <row r="150" s="70" customFormat="1" x14ac:dyDescent="0.3"/>
    <row r="151" s="70" customFormat="1" x14ac:dyDescent="0.3"/>
    <row r="152" s="70" customFormat="1" x14ac:dyDescent="0.3"/>
    <row r="153" s="70" customFormat="1" x14ac:dyDescent="0.3"/>
    <row r="154" s="70" customFormat="1" x14ac:dyDescent="0.3"/>
    <row r="155" s="70" customFormat="1" x14ac:dyDescent="0.3"/>
    <row r="156" s="70" customFormat="1" x14ac:dyDescent="0.3"/>
    <row r="157" s="70" customFormat="1" x14ac:dyDescent="0.3"/>
    <row r="158" s="70" customFormat="1" x14ac:dyDescent="0.3"/>
    <row r="159" s="70" customFormat="1" x14ac:dyDescent="0.3"/>
    <row r="160" s="70" customFormat="1" x14ac:dyDescent="0.3"/>
    <row r="161" s="70" customFormat="1" x14ac:dyDescent="0.3"/>
    <row r="162" s="70" customFormat="1" x14ac:dyDescent="0.3"/>
    <row r="163" s="70" customFormat="1" x14ac:dyDescent="0.3"/>
    <row r="164" s="70" customFormat="1" x14ac:dyDescent="0.3"/>
    <row r="165" s="70" customFormat="1" x14ac:dyDescent="0.3"/>
    <row r="166" s="70" customFormat="1" x14ac:dyDescent="0.3"/>
    <row r="167" s="70" customFormat="1" x14ac:dyDescent="0.3"/>
    <row r="168" s="70" customFormat="1" x14ac:dyDescent="0.3"/>
    <row r="169" s="70" customFormat="1" x14ac:dyDescent="0.3"/>
    <row r="170" s="70" customFormat="1" x14ac:dyDescent="0.3"/>
    <row r="171" s="70" customFormat="1" x14ac:dyDescent="0.3"/>
    <row r="172" s="70" customFormat="1" x14ac:dyDescent="0.3"/>
    <row r="173" s="70" customFormat="1" x14ac:dyDescent="0.3"/>
    <row r="174" s="70" customFormat="1" x14ac:dyDescent="0.3"/>
    <row r="175" s="70" customFormat="1" x14ac:dyDescent="0.3"/>
    <row r="176" s="70" customFormat="1" x14ac:dyDescent="0.3"/>
    <row r="177" s="70" customFormat="1" x14ac:dyDescent="0.3"/>
    <row r="178" s="70" customFormat="1" x14ac:dyDescent="0.3"/>
    <row r="179" s="70" customFormat="1" x14ac:dyDescent="0.3"/>
    <row r="180" s="70" customFormat="1" x14ac:dyDescent="0.3"/>
    <row r="181" s="70" customFormat="1" x14ac:dyDescent="0.3"/>
    <row r="182" s="70" customFormat="1" x14ac:dyDescent="0.3"/>
    <row r="183" s="70" customFormat="1" x14ac:dyDescent="0.3"/>
    <row r="184" s="70" customFormat="1" x14ac:dyDescent="0.3"/>
    <row r="185" s="70" customFormat="1" x14ac:dyDescent="0.3"/>
    <row r="186" s="70" customFormat="1" x14ac:dyDescent="0.3"/>
    <row r="187" s="70" customFormat="1" x14ac:dyDescent="0.3"/>
    <row r="188" s="70" customFormat="1" x14ac:dyDescent="0.3"/>
    <row r="189" s="70" customFormat="1" x14ac:dyDescent="0.3"/>
    <row r="190" s="70" customFormat="1" x14ac:dyDescent="0.3"/>
    <row r="191" s="70" customFormat="1" x14ac:dyDescent="0.3"/>
    <row r="192" s="70" customFormat="1" x14ac:dyDescent="0.3"/>
    <row r="193" s="70" customFormat="1" x14ac:dyDescent="0.3"/>
  </sheetData>
  <mergeCells count="4">
    <mergeCell ref="D1:J1"/>
    <mergeCell ref="G8:J8"/>
    <mergeCell ref="D26:I26"/>
    <mergeCell ref="K26:M2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9FCC-FA4A-4F83-AD0D-AC1AD9180DB1}">
  <dimension ref="A1:AA86"/>
  <sheetViews>
    <sheetView zoomScale="80" zoomScaleNormal="80" workbookViewId="0">
      <selection activeCell="T23" sqref="T23"/>
    </sheetView>
  </sheetViews>
  <sheetFormatPr defaultRowHeight="14.4" x14ac:dyDescent="0.3"/>
  <cols>
    <col min="1" max="1" width="4" customWidth="1"/>
    <col min="2" max="2" width="35.5546875" style="39" customWidth="1"/>
    <col min="3" max="3" width="6.109375" style="39" customWidth="1"/>
    <col min="4" max="4" width="17.109375" customWidth="1"/>
    <col min="5" max="5" width="7.44140625" customWidth="1"/>
    <col min="6" max="6" width="30" customWidth="1"/>
    <col min="7" max="7" width="4.5546875" customWidth="1"/>
    <col min="8" max="8" width="17.6640625" customWidth="1"/>
    <col min="9" max="9" width="4.88671875" style="70" customWidth="1"/>
    <col min="10" max="10" width="4.5546875" style="70" customWidth="1"/>
    <col min="11" max="11" width="8.109375" style="70" customWidth="1"/>
    <col min="12" max="12" width="15.88671875" style="70" customWidth="1"/>
    <col min="13" max="13" width="5.44140625" style="70" customWidth="1"/>
    <col min="14" max="14" width="7.5546875" style="70" customWidth="1"/>
    <col min="15" max="15" width="11.44140625" style="70" customWidth="1"/>
    <col min="16" max="16" width="1.5546875" style="70" hidden="1" customWidth="1"/>
    <col min="17" max="17" width="12.109375" style="70" hidden="1" customWidth="1"/>
    <col min="18" max="18" width="12.109375" style="70" customWidth="1"/>
    <col min="19" max="19" width="14.44140625" style="70" hidden="1" customWidth="1"/>
    <col min="20" max="20" width="8.88671875" style="70"/>
    <col min="21" max="21" width="13.109375" style="70" customWidth="1"/>
    <col min="22" max="23" width="12.5546875" style="70" customWidth="1"/>
    <col min="24" max="24" width="1.88671875" style="70" customWidth="1"/>
    <col min="25" max="25" width="13.109375" style="70" customWidth="1"/>
    <col min="26" max="26" width="13.88671875" style="70" customWidth="1"/>
    <col min="27" max="27" width="14.5546875" customWidth="1"/>
  </cols>
  <sheetData>
    <row r="1" spans="1:27" s="488" customFormat="1" ht="48" customHeight="1" thickBot="1" x14ac:dyDescent="0.35">
      <c r="A1" s="487"/>
      <c r="B1" s="686" t="s">
        <v>261</v>
      </c>
      <c r="C1" s="686"/>
      <c r="D1" s="687"/>
      <c r="E1" s="687"/>
      <c r="F1" s="688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</row>
    <row r="2" spans="1:27" ht="15" thickBot="1" x14ac:dyDescent="0.35">
      <c r="A2" s="70"/>
      <c r="B2" s="97" t="s">
        <v>93</v>
      </c>
      <c r="C2" s="78"/>
      <c r="D2" s="70"/>
      <c r="E2" s="70"/>
      <c r="F2" s="70"/>
      <c r="G2" s="70"/>
      <c r="H2" s="70"/>
    </row>
    <row r="3" spans="1:27" ht="15" thickBot="1" x14ac:dyDescent="0.35">
      <c r="A3" s="70"/>
      <c r="B3" s="97" t="s">
        <v>289</v>
      </c>
      <c r="C3" s="78"/>
      <c r="D3" s="70"/>
      <c r="E3" s="70"/>
      <c r="F3" s="70"/>
      <c r="G3" s="70"/>
      <c r="H3" s="70"/>
      <c r="AA3" s="70"/>
    </row>
    <row r="4" spans="1:27" s="235" customFormat="1" ht="27.6" customHeight="1" x14ac:dyDescent="0.3">
      <c r="A4" s="341"/>
      <c r="B4" s="76" t="s">
        <v>31</v>
      </c>
      <c r="C4" s="76"/>
      <c r="D4" s="486" t="s">
        <v>80</v>
      </c>
      <c r="E4" s="341"/>
      <c r="F4" s="341"/>
      <c r="G4" s="341"/>
      <c r="H4" s="341"/>
      <c r="I4" s="341"/>
      <c r="J4" s="341"/>
      <c r="K4" s="341"/>
      <c r="L4" s="9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</row>
    <row r="5" spans="1:27" s="3" customFormat="1" ht="15" thickBot="1" x14ac:dyDescent="0.35">
      <c r="A5" s="71"/>
      <c r="B5" s="42"/>
      <c r="C5" s="100"/>
      <c r="D5" s="19" t="s">
        <v>2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7" s="3" customFormat="1" ht="15" thickBot="1" x14ac:dyDescent="0.35">
      <c r="A6" s="71"/>
      <c r="B6" s="41" t="s">
        <v>36</v>
      </c>
      <c r="C6" s="84"/>
      <c r="D6" s="37">
        <f>SUM(D40)+H40</f>
        <v>15520752.166666666</v>
      </c>
      <c r="E6" s="72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7" s="3" customFormat="1" ht="15" thickBot="1" x14ac:dyDescent="0.35">
      <c r="A7" s="71"/>
      <c r="B7" s="484"/>
      <c r="C7" s="84"/>
      <c r="D7" s="138"/>
      <c r="E7" s="72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7" ht="13.8" customHeight="1" thickBot="1" x14ac:dyDescent="0.35">
      <c r="A8" s="70"/>
      <c r="B8" s="97" t="s">
        <v>256</v>
      </c>
      <c r="C8" s="78"/>
      <c r="D8" s="485">
        <v>-3000000</v>
      </c>
      <c r="E8" s="70"/>
      <c r="F8" s="70"/>
      <c r="G8" s="70"/>
      <c r="H8" s="70"/>
    </row>
    <row r="9" spans="1:27" ht="15" thickBot="1" x14ac:dyDescent="0.35">
      <c r="A9" s="70"/>
      <c r="B9" s="82"/>
      <c r="C9" s="82"/>
      <c r="D9" s="102"/>
      <c r="E9" s="70"/>
      <c r="F9" s="70"/>
      <c r="G9" s="70"/>
      <c r="H9" s="70"/>
    </row>
    <row r="10" spans="1:27" s="3" customFormat="1" ht="15" thickBot="1" x14ac:dyDescent="0.35">
      <c r="A10" s="71"/>
      <c r="B10" s="44" t="s">
        <v>35</v>
      </c>
      <c r="C10" s="84"/>
      <c r="D10" s="23">
        <f>SUM(D6:D8)</f>
        <v>12520752.166666666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7" ht="15.6" customHeight="1" thickBot="1" x14ac:dyDescent="0.35">
      <c r="A11" s="70"/>
      <c r="B11" s="43"/>
      <c r="C11" s="78"/>
      <c r="D11" s="73"/>
      <c r="E11" s="70"/>
      <c r="F11" s="70"/>
      <c r="G11" s="70"/>
      <c r="H11" s="70"/>
    </row>
    <row r="12" spans="1:27" ht="15" thickBot="1" x14ac:dyDescent="0.35">
      <c r="A12" s="70"/>
      <c r="B12" s="61" t="s">
        <v>0</v>
      </c>
      <c r="C12" s="78"/>
      <c r="D12" s="38" t="s">
        <v>2</v>
      </c>
      <c r="E12" s="70"/>
      <c r="F12" s="61" t="s">
        <v>0</v>
      </c>
      <c r="G12" s="78"/>
      <c r="H12" s="38" t="s">
        <v>104</v>
      </c>
    </row>
    <row r="13" spans="1:27" x14ac:dyDescent="0.3">
      <c r="A13" s="70"/>
      <c r="B13" s="46" t="s">
        <v>3</v>
      </c>
      <c r="C13" s="78"/>
      <c r="D13" s="25">
        <f>299648/9*12</f>
        <v>399530.66666666663</v>
      </c>
      <c r="E13" s="102"/>
      <c r="F13" s="58" t="s">
        <v>253</v>
      </c>
      <c r="G13" s="101"/>
      <c r="H13" s="49"/>
    </row>
    <row r="14" spans="1:27" x14ac:dyDescent="0.3">
      <c r="A14" s="70"/>
      <c r="B14" s="46" t="s">
        <v>4</v>
      </c>
      <c r="C14" s="78"/>
      <c r="D14" s="25">
        <f>(85000+35000)*1.25</f>
        <v>150000</v>
      </c>
      <c r="E14" s="102"/>
      <c r="F14" s="46" t="s">
        <v>54</v>
      </c>
      <c r="G14" s="78"/>
      <c r="H14" s="50">
        <v>451000</v>
      </c>
    </row>
    <row r="15" spans="1:27" x14ac:dyDescent="0.3">
      <c r="A15" s="70"/>
      <c r="B15" s="46" t="s">
        <v>262</v>
      </c>
      <c r="C15" s="78"/>
      <c r="D15" s="25">
        <v>64000</v>
      </c>
      <c r="E15" s="102"/>
      <c r="F15" s="46"/>
      <c r="G15" s="78"/>
      <c r="H15" s="50"/>
    </row>
    <row r="16" spans="1:27" ht="14.4" customHeight="1" thickBot="1" x14ac:dyDescent="0.35">
      <c r="A16" s="70"/>
      <c r="B16" s="46" t="s">
        <v>5</v>
      </c>
      <c r="C16" s="78"/>
      <c r="D16" s="25">
        <v>1000000</v>
      </c>
      <c r="E16" s="102"/>
      <c r="F16" s="46" t="s">
        <v>55</v>
      </c>
      <c r="G16" s="78"/>
      <c r="H16" s="50">
        <v>1089000</v>
      </c>
    </row>
    <row r="17" spans="1:26" s="3" customFormat="1" ht="15" thickBot="1" x14ac:dyDescent="0.35">
      <c r="A17" s="71"/>
      <c r="B17" s="47" t="s">
        <v>6</v>
      </c>
      <c r="C17" s="84"/>
      <c r="D17" s="5">
        <f>SUM(D13:D16)</f>
        <v>1613530.6666666665</v>
      </c>
      <c r="E17" s="72"/>
      <c r="F17" s="46" t="s">
        <v>56</v>
      </c>
      <c r="G17" s="78"/>
      <c r="H17" s="50">
        <v>179102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3.65" customHeight="1" thickBot="1" x14ac:dyDescent="0.35">
      <c r="A18" s="70"/>
      <c r="B18" s="43"/>
      <c r="C18" s="78"/>
      <c r="E18" s="70"/>
      <c r="F18" s="46" t="s">
        <v>57</v>
      </c>
      <c r="G18" s="78"/>
      <c r="H18" s="50">
        <v>364958</v>
      </c>
    </row>
    <row r="19" spans="1:26" x14ac:dyDescent="0.3">
      <c r="A19" s="70"/>
      <c r="B19" s="45" t="s">
        <v>43</v>
      </c>
      <c r="C19" s="78"/>
      <c r="D19" s="36">
        <f>72108*1.25</f>
        <v>90135</v>
      </c>
      <c r="E19" s="102"/>
      <c r="F19" s="46" t="s">
        <v>10</v>
      </c>
      <c r="G19" s="78"/>
      <c r="H19" s="50">
        <v>495000</v>
      </c>
    </row>
    <row r="20" spans="1:26" x14ac:dyDescent="0.3">
      <c r="A20" s="70"/>
      <c r="B20" s="46" t="s">
        <v>44</v>
      </c>
      <c r="C20" s="78"/>
      <c r="D20" s="26">
        <f>495200*1.25</f>
        <v>619000</v>
      </c>
      <c r="E20" s="102"/>
      <c r="F20" s="46" t="s">
        <v>58</v>
      </c>
      <c r="G20" s="78"/>
      <c r="H20" s="50">
        <v>1221000</v>
      </c>
    </row>
    <row r="21" spans="1:26" ht="14.4" customHeight="1" x14ac:dyDescent="0.3">
      <c r="A21" s="70"/>
      <c r="B21" s="46" t="s">
        <v>82</v>
      </c>
      <c r="C21" s="78"/>
      <c r="D21" s="26">
        <v>233565</v>
      </c>
      <c r="E21" s="102"/>
      <c r="F21" s="46" t="s">
        <v>64</v>
      </c>
      <c r="G21" s="78"/>
      <c r="H21" s="50">
        <v>572000</v>
      </c>
    </row>
    <row r="22" spans="1:26" ht="14.4" customHeight="1" x14ac:dyDescent="0.3">
      <c r="A22" s="70"/>
      <c r="B22" s="46" t="s">
        <v>83</v>
      </c>
      <c r="C22" s="78"/>
      <c r="D22" s="26">
        <v>17286</v>
      </c>
      <c r="E22" s="102"/>
      <c r="F22" s="46" t="s">
        <v>11</v>
      </c>
      <c r="G22" s="78"/>
      <c r="H22" s="50">
        <v>429000</v>
      </c>
    </row>
    <row r="23" spans="1:26" ht="14.4" customHeight="1" x14ac:dyDescent="0.3">
      <c r="A23" s="70"/>
      <c r="B23" s="46" t="s">
        <v>310</v>
      </c>
      <c r="C23" s="78"/>
      <c r="D23" s="26">
        <v>10000</v>
      </c>
      <c r="E23" s="102"/>
      <c r="F23" s="46" t="s">
        <v>59</v>
      </c>
      <c r="G23" s="78"/>
      <c r="H23" s="50">
        <v>379500</v>
      </c>
    </row>
    <row r="24" spans="1:26" ht="14.4" customHeight="1" x14ac:dyDescent="0.3">
      <c r="A24" s="70"/>
      <c r="B24" s="46" t="s">
        <v>7</v>
      </c>
      <c r="C24" s="78"/>
      <c r="D24" s="26">
        <v>168000</v>
      </c>
      <c r="E24" s="102"/>
      <c r="F24" s="46" t="s">
        <v>60</v>
      </c>
      <c r="G24" s="78"/>
      <c r="H24" s="50">
        <v>302500</v>
      </c>
    </row>
    <row r="25" spans="1:26" ht="14.4" customHeight="1" x14ac:dyDescent="0.3">
      <c r="A25" s="70"/>
      <c r="B25" s="120" t="s">
        <v>91</v>
      </c>
      <c r="C25" s="78"/>
      <c r="D25" s="121">
        <f>350000+81000/8*12</f>
        <v>471500</v>
      </c>
      <c r="E25" s="102"/>
      <c r="F25" s="46" t="s">
        <v>61</v>
      </c>
      <c r="G25" s="78"/>
      <c r="H25" s="50">
        <v>171600</v>
      </c>
    </row>
    <row r="26" spans="1:26" ht="14.4" customHeight="1" thickBot="1" x14ac:dyDescent="0.35">
      <c r="A26" s="70"/>
      <c r="B26" s="46" t="s">
        <v>8</v>
      </c>
      <c r="C26" s="78"/>
      <c r="D26" s="26">
        <v>0</v>
      </c>
      <c r="E26" s="102"/>
      <c r="F26" s="46" t="s">
        <v>68</v>
      </c>
      <c r="G26" s="78"/>
      <c r="H26" s="50">
        <v>24200</v>
      </c>
    </row>
    <row r="27" spans="1:26" ht="14.4" customHeight="1" thickBot="1" x14ac:dyDescent="0.35">
      <c r="A27" s="70"/>
      <c r="B27" s="47" t="s">
        <v>9</v>
      </c>
      <c r="C27" s="84"/>
      <c r="D27" s="28">
        <f>SUM(D19:D26)</f>
        <v>1609486</v>
      </c>
      <c r="E27" s="102"/>
      <c r="F27" s="46" t="s">
        <v>62</v>
      </c>
      <c r="G27" s="78"/>
      <c r="H27" s="54">
        <v>159500</v>
      </c>
    </row>
    <row r="28" spans="1:26" ht="14.4" customHeight="1" thickBot="1" x14ac:dyDescent="0.35">
      <c r="A28" s="70"/>
      <c r="B28" s="483"/>
      <c r="C28" s="84"/>
      <c r="D28" s="137"/>
      <c r="E28" s="102"/>
      <c r="F28" s="46" t="s">
        <v>65</v>
      </c>
      <c r="G28" s="78"/>
      <c r="H28" s="54">
        <v>118800</v>
      </c>
    </row>
    <row r="29" spans="1:26" ht="14.4" customHeight="1" thickBot="1" x14ac:dyDescent="0.35">
      <c r="A29" s="70"/>
      <c r="B29" s="45" t="s">
        <v>86</v>
      </c>
      <c r="C29" s="117"/>
      <c r="D29" s="53">
        <f>13400000*2.95%*0.5</f>
        <v>197650</v>
      </c>
      <c r="E29" s="102"/>
      <c r="F29" s="46" t="s">
        <v>63</v>
      </c>
      <c r="G29" s="78"/>
      <c r="H29" s="51">
        <v>80000</v>
      </c>
    </row>
    <row r="30" spans="1:26" ht="14.4" customHeight="1" thickBot="1" x14ac:dyDescent="0.35">
      <c r="A30" s="70"/>
      <c r="B30" s="46" t="s">
        <v>13</v>
      </c>
      <c r="C30" s="78"/>
      <c r="D30" s="50">
        <f>SUM(13400000)*2%+2000</f>
        <v>270000</v>
      </c>
      <c r="E30" s="102"/>
      <c r="F30" s="47" t="s">
        <v>12</v>
      </c>
      <c r="G30" s="84"/>
      <c r="H30" s="28">
        <f>SUM(H14:H29)</f>
        <v>6037160</v>
      </c>
    </row>
    <row r="31" spans="1:26" ht="14.4" customHeight="1" x14ac:dyDescent="0.3">
      <c r="A31" s="70"/>
      <c r="B31" s="46" t="s">
        <v>102</v>
      </c>
      <c r="C31" s="78"/>
      <c r="D31" s="50">
        <v>150000</v>
      </c>
      <c r="E31" s="102"/>
      <c r="F31" s="483"/>
      <c r="G31" s="84"/>
      <c r="H31" s="137"/>
    </row>
    <row r="32" spans="1:26" ht="14.4" customHeight="1" x14ac:dyDescent="0.3">
      <c r="A32" s="70"/>
      <c r="B32" s="46" t="s">
        <v>232</v>
      </c>
      <c r="C32" s="78"/>
      <c r="D32" s="50">
        <v>40000</v>
      </c>
      <c r="E32" s="102"/>
      <c r="F32" s="483"/>
      <c r="G32" s="84"/>
      <c r="H32" s="137"/>
    </row>
    <row r="33" spans="1:8" ht="14.4" customHeight="1" x14ac:dyDescent="0.3">
      <c r="A33" s="70"/>
      <c r="B33" s="46" t="s">
        <v>85</v>
      </c>
      <c r="C33" s="78"/>
      <c r="D33" s="54">
        <v>61728</v>
      </c>
      <c r="E33" s="102"/>
      <c r="F33" s="52"/>
      <c r="G33" s="84"/>
      <c r="H33" s="29"/>
    </row>
    <row r="34" spans="1:8" ht="14.4" customHeight="1" x14ac:dyDescent="0.3">
      <c r="A34" s="70"/>
      <c r="B34" s="46" t="s">
        <v>69</v>
      </c>
      <c r="C34" s="78"/>
      <c r="D34" s="50">
        <f>9*24*30*6</f>
        <v>38880</v>
      </c>
      <c r="E34" s="102"/>
      <c r="F34" s="84"/>
      <c r="G34" s="84"/>
      <c r="H34" s="74"/>
    </row>
    <row r="35" spans="1:8" ht="14.4" customHeight="1" x14ac:dyDescent="0.3">
      <c r="A35" s="70"/>
      <c r="B35" s="46" t="s">
        <v>14</v>
      </c>
      <c r="C35" s="78"/>
      <c r="D35" s="54">
        <v>20000</v>
      </c>
      <c r="E35" s="102"/>
      <c r="F35" s="56" t="s">
        <v>251</v>
      </c>
      <c r="G35" s="84"/>
      <c r="H35" s="57">
        <v>3162422</v>
      </c>
    </row>
    <row r="36" spans="1:8" ht="14.4" customHeight="1" x14ac:dyDescent="0.3">
      <c r="A36" s="70"/>
      <c r="B36" s="46" t="s">
        <v>309</v>
      </c>
      <c r="C36" s="78"/>
      <c r="D36" s="54">
        <v>20000</v>
      </c>
      <c r="E36" s="102"/>
      <c r="F36" s="483"/>
      <c r="G36" s="84"/>
      <c r="H36" s="137"/>
    </row>
    <row r="37" spans="1:8" ht="14.4" customHeight="1" thickBot="1" x14ac:dyDescent="0.35">
      <c r="A37" s="70"/>
      <c r="B37" s="46" t="s">
        <v>252</v>
      </c>
      <c r="C37" s="78"/>
      <c r="D37" s="55">
        <v>0</v>
      </c>
      <c r="E37" s="102"/>
      <c r="F37" s="52"/>
      <c r="G37" s="84"/>
      <c r="H37" s="29"/>
    </row>
    <row r="38" spans="1:8" ht="14.4" customHeight="1" thickBot="1" x14ac:dyDescent="0.35">
      <c r="A38" s="70"/>
      <c r="B38" s="47" t="s">
        <v>254</v>
      </c>
      <c r="C38" s="84"/>
      <c r="D38" s="28">
        <f>SUM(D29:D37)</f>
        <v>798258</v>
      </c>
      <c r="E38" s="102"/>
      <c r="F38" s="56" t="s">
        <v>1</v>
      </c>
      <c r="G38" s="84"/>
      <c r="H38" s="57">
        <f>SUM(H30+H35)*25%</f>
        <v>2299895.5</v>
      </c>
    </row>
    <row r="39" spans="1:8" ht="14.4" customHeight="1" thickBot="1" x14ac:dyDescent="0.35">
      <c r="A39" s="70"/>
      <c r="B39" s="82"/>
      <c r="C39" s="82"/>
      <c r="D39" s="70"/>
      <c r="E39" s="102"/>
    </row>
    <row r="40" spans="1:8" ht="14.4" customHeight="1" thickBot="1" x14ac:dyDescent="0.35">
      <c r="A40" s="70"/>
      <c r="B40" s="47" t="s">
        <v>255</v>
      </c>
      <c r="C40" s="84"/>
      <c r="D40" s="28">
        <f>SUM(D17)+D27+D38</f>
        <v>4021274.6666666665</v>
      </c>
      <c r="E40" s="102"/>
      <c r="F40" s="47" t="s">
        <v>53</v>
      </c>
      <c r="G40" s="84"/>
      <c r="H40" s="28">
        <f>SUM(H30+H35+H38)</f>
        <v>11499477.5</v>
      </c>
    </row>
    <row r="41" spans="1:8" ht="14.4" customHeight="1" x14ac:dyDescent="0.3">
      <c r="A41" s="70"/>
      <c r="B41" s="82"/>
      <c r="C41" s="82"/>
      <c r="D41" s="70"/>
      <c r="E41" s="102"/>
      <c r="F41" s="70"/>
      <c r="G41" s="70"/>
      <c r="H41" s="70"/>
    </row>
    <row r="42" spans="1:8" ht="14.4" customHeight="1" x14ac:dyDescent="0.3">
      <c r="A42" s="70"/>
      <c r="B42" s="82"/>
      <c r="C42" s="82"/>
      <c r="D42" s="70"/>
      <c r="E42" s="102"/>
      <c r="F42" s="70"/>
      <c r="G42" s="70"/>
      <c r="H42" s="70"/>
    </row>
    <row r="43" spans="1:8" s="70" customFormat="1" ht="14.4" customHeight="1" x14ac:dyDescent="0.3">
      <c r="B43" s="82"/>
      <c r="C43" s="82"/>
      <c r="E43" s="102"/>
    </row>
    <row r="44" spans="1:8" s="70" customFormat="1" ht="14.4" customHeight="1" x14ac:dyDescent="0.3">
      <c r="B44" s="82"/>
      <c r="C44" s="82"/>
      <c r="E44" s="102"/>
    </row>
    <row r="45" spans="1:8" s="70" customFormat="1" ht="14.4" customHeight="1" x14ac:dyDescent="0.3">
      <c r="B45" s="82"/>
      <c r="C45" s="82"/>
      <c r="E45" s="102"/>
    </row>
    <row r="46" spans="1:8" s="70" customFormat="1" ht="14.4" customHeight="1" x14ac:dyDescent="0.3">
      <c r="B46" s="82"/>
      <c r="C46" s="82"/>
      <c r="E46" s="102"/>
    </row>
    <row r="47" spans="1:8" s="70" customFormat="1" ht="14.4" customHeight="1" x14ac:dyDescent="0.3">
      <c r="B47" s="82"/>
      <c r="C47" s="82"/>
      <c r="E47" s="102"/>
    </row>
    <row r="48" spans="1:8" s="70" customFormat="1" ht="14.4" customHeight="1" x14ac:dyDescent="0.3">
      <c r="B48" s="82"/>
      <c r="C48" s="82"/>
      <c r="E48" s="102"/>
    </row>
    <row r="49" spans="2:8" s="70" customFormat="1" ht="14.4" customHeight="1" x14ac:dyDescent="0.3">
      <c r="B49" s="82"/>
      <c r="C49" s="82"/>
      <c r="E49" s="102"/>
    </row>
    <row r="50" spans="2:8" s="70" customFormat="1" ht="14.4" customHeight="1" x14ac:dyDescent="0.3">
      <c r="B50" s="82"/>
      <c r="C50" s="82"/>
      <c r="E50" s="102"/>
    </row>
    <row r="51" spans="2:8" s="70" customFormat="1" ht="14.4" customHeight="1" x14ac:dyDescent="0.3">
      <c r="B51" s="82"/>
      <c r="C51" s="82"/>
      <c r="E51" s="102"/>
    </row>
    <row r="52" spans="2:8" s="70" customFormat="1" ht="14.4" customHeight="1" x14ac:dyDescent="0.3">
      <c r="B52" s="82"/>
      <c r="C52" s="82"/>
      <c r="E52" s="102"/>
    </row>
    <row r="53" spans="2:8" s="70" customFormat="1" ht="14.4" customHeight="1" x14ac:dyDescent="0.3">
      <c r="B53" s="82"/>
      <c r="C53" s="82"/>
      <c r="E53" s="102"/>
    </row>
    <row r="54" spans="2:8" s="70" customFormat="1" ht="14.4" customHeight="1" x14ac:dyDescent="0.3">
      <c r="B54" s="82"/>
      <c r="C54" s="82"/>
      <c r="E54" s="102"/>
    </row>
    <row r="55" spans="2:8" s="70" customFormat="1" ht="14.4" customHeight="1" x14ac:dyDescent="0.3">
      <c r="B55" s="82"/>
      <c r="C55" s="82"/>
      <c r="E55" s="102"/>
    </row>
    <row r="56" spans="2:8" s="70" customFormat="1" x14ac:dyDescent="0.3">
      <c r="B56" s="82"/>
      <c r="C56" s="82"/>
      <c r="E56" s="102"/>
    </row>
    <row r="57" spans="2:8" s="70" customFormat="1" ht="14.4" customHeight="1" x14ac:dyDescent="0.3">
      <c r="B57" s="82"/>
      <c r="C57" s="82"/>
      <c r="E57" s="102"/>
    </row>
    <row r="58" spans="2:8" s="70" customFormat="1" x14ac:dyDescent="0.3">
      <c r="B58" s="82"/>
      <c r="C58" s="82"/>
      <c r="E58" s="102"/>
      <c r="F58" s="71"/>
      <c r="G58" s="71"/>
      <c r="H58" s="71"/>
    </row>
    <row r="59" spans="2:8" s="71" customFormat="1" x14ac:dyDescent="0.3">
      <c r="E59" s="74"/>
      <c r="F59" s="70"/>
      <c r="G59" s="70"/>
      <c r="H59" s="70"/>
    </row>
    <row r="60" spans="2:8" s="70" customFormat="1" ht="7.65" customHeight="1" x14ac:dyDescent="0.3">
      <c r="B60" s="82"/>
      <c r="C60" s="82"/>
      <c r="E60" s="77"/>
    </row>
    <row r="61" spans="2:8" s="70" customFormat="1" ht="14.4" customHeight="1" x14ac:dyDescent="0.3">
      <c r="B61" s="82"/>
      <c r="C61" s="82"/>
      <c r="E61" s="74"/>
    </row>
    <row r="62" spans="2:8" s="70" customFormat="1" x14ac:dyDescent="0.3">
      <c r="B62" s="82"/>
      <c r="C62" s="82"/>
      <c r="E62" s="103"/>
    </row>
    <row r="63" spans="2:8" s="70" customFormat="1" x14ac:dyDescent="0.3">
      <c r="B63" s="82"/>
      <c r="C63" s="82"/>
      <c r="E63" s="103"/>
    </row>
    <row r="64" spans="2:8" s="70" customFormat="1" x14ac:dyDescent="0.3">
      <c r="B64" s="82"/>
      <c r="C64" s="82"/>
      <c r="E64" s="103"/>
      <c r="F64" s="85"/>
      <c r="G64" s="85"/>
      <c r="H64" s="85"/>
    </row>
    <row r="65" spans="1:8" s="85" customFormat="1" ht="20.399999999999999" customHeight="1" x14ac:dyDescent="0.3">
      <c r="E65" s="105"/>
      <c r="F65" s="70"/>
      <c r="G65" s="70"/>
      <c r="H65" s="70"/>
    </row>
    <row r="66" spans="1:8" s="70" customFormat="1" ht="11.4" customHeight="1" x14ac:dyDescent="0.3">
      <c r="B66" s="82"/>
      <c r="C66" s="82"/>
      <c r="E66" s="74"/>
    </row>
    <row r="67" spans="1:8" s="70" customFormat="1" ht="16.350000000000001" customHeight="1" x14ac:dyDescent="0.3">
      <c r="B67" s="82"/>
      <c r="C67" s="82"/>
      <c r="E67" s="74"/>
    </row>
    <row r="68" spans="1:8" s="70" customFormat="1" ht="7.35" customHeight="1" x14ac:dyDescent="0.3">
      <c r="B68" s="82"/>
      <c r="C68" s="82"/>
      <c r="E68" s="74"/>
    </row>
    <row r="69" spans="1:8" s="70" customFormat="1" ht="15" customHeight="1" x14ac:dyDescent="0.3">
      <c r="B69" s="82"/>
      <c r="C69" s="82"/>
      <c r="E69" s="74"/>
    </row>
    <row r="70" spans="1:8" s="70" customFormat="1" ht="13.65" customHeight="1" x14ac:dyDescent="0.3">
      <c r="B70" s="82"/>
      <c r="C70" s="82"/>
      <c r="E70" s="74"/>
    </row>
    <row r="71" spans="1:8" s="70" customFormat="1" ht="16.350000000000001" customHeight="1" x14ac:dyDescent="0.3">
      <c r="B71" s="82"/>
      <c r="C71" s="82"/>
      <c r="E71" s="74"/>
    </row>
    <row r="72" spans="1:8" s="70" customFormat="1" x14ac:dyDescent="0.3">
      <c r="B72" s="82"/>
      <c r="C72" s="82"/>
      <c r="E72" s="74"/>
    </row>
    <row r="73" spans="1:8" s="70" customFormat="1" ht="16.649999999999999" customHeight="1" x14ac:dyDescent="0.3">
      <c r="B73" s="82"/>
      <c r="C73" s="82"/>
      <c r="E73" s="77"/>
    </row>
    <row r="74" spans="1:8" s="70" customFormat="1" x14ac:dyDescent="0.3">
      <c r="B74" s="82"/>
      <c r="C74" s="82"/>
      <c r="E74" s="103"/>
    </row>
    <row r="75" spans="1:8" s="70" customFormat="1" x14ac:dyDescent="0.3">
      <c r="B75" s="82"/>
      <c r="C75" s="82"/>
      <c r="E75" s="103"/>
    </row>
    <row r="76" spans="1:8" s="70" customFormat="1" x14ac:dyDescent="0.3">
      <c r="B76" s="82"/>
      <c r="C76" s="82"/>
      <c r="E76" s="103"/>
    </row>
    <row r="77" spans="1:8" s="70" customFormat="1" x14ac:dyDescent="0.3">
      <c r="B77" s="82"/>
      <c r="C77" s="82"/>
      <c r="E77" s="103"/>
    </row>
    <row r="78" spans="1:8" s="70" customFormat="1" x14ac:dyDescent="0.3">
      <c r="B78" s="82"/>
      <c r="C78" s="82"/>
      <c r="E78" s="103"/>
    </row>
    <row r="79" spans="1:8" x14ac:dyDescent="0.3">
      <c r="A79" s="70"/>
      <c r="E79" s="103"/>
    </row>
    <row r="80" spans="1:8" x14ac:dyDescent="0.3">
      <c r="A80" s="70"/>
      <c r="E80" s="103"/>
    </row>
    <row r="81" spans="1:26" x14ac:dyDescent="0.3">
      <c r="A81" s="70"/>
      <c r="E81" s="103"/>
    </row>
    <row r="82" spans="1:26" x14ac:dyDescent="0.3">
      <c r="A82" s="70"/>
      <c r="E82" s="103"/>
    </row>
    <row r="83" spans="1:26" x14ac:dyDescent="0.3">
      <c r="A83" s="70"/>
      <c r="E83" s="103"/>
    </row>
    <row r="84" spans="1:26" x14ac:dyDescent="0.3">
      <c r="A84" s="70"/>
      <c r="E84" s="103"/>
    </row>
    <row r="85" spans="1:26" x14ac:dyDescent="0.3">
      <c r="A85" s="70"/>
      <c r="E85" s="103"/>
      <c r="F85" s="3"/>
      <c r="G85" s="3"/>
      <c r="H85" s="3"/>
    </row>
    <row r="86" spans="1:26" s="3" customFormat="1" x14ac:dyDescent="0.3">
      <c r="A86" s="71"/>
      <c r="E86" s="74"/>
      <c r="F86"/>
      <c r="G86"/>
      <c r="H86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7</vt:i4>
      </vt:variant>
    </vt:vector>
  </HeadingPairs>
  <TitlesOfParts>
    <vt:vector size="16" baseType="lpstr">
      <vt:lpstr>Intro</vt:lpstr>
      <vt:lpstr>Sammanfattande resultat</vt:lpstr>
      <vt:lpstr>Resultaträkning &amp; kassaflöde</vt:lpstr>
      <vt:lpstr>Produktionsplan</vt:lpstr>
      <vt:lpstr>Hyresavgifter</vt:lpstr>
      <vt:lpstr>Referensunderlag</vt:lpstr>
      <vt:lpstr>Stöd Boverket</vt:lpstr>
      <vt:lpstr>Överkompensation</vt:lpstr>
      <vt:lpstr>Illustration av kostnader</vt:lpstr>
      <vt:lpstr>Hyresavgifter!Utskriftsområde</vt:lpstr>
      <vt:lpstr>'Illustration av kostnader'!Utskriftsområde</vt:lpstr>
      <vt:lpstr>Produktionsplan!Utskriftsområde</vt:lpstr>
      <vt:lpstr>Referensunderlag!Utskriftsområde</vt:lpstr>
      <vt:lpstr>'Sammanfattande resultat'!Utskriftsområde</vt:lpstr>
      <vt:lpstr>'Stöd Boverket'!Utskriftsområde</vt:lpstr>
      <vt:lpstr>Överkompensation!Utskriftsområde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Casserstedt</dc:creator>
  <cp:lastModifiedBy>Gunnar Casserstedt</cp:lastModifiedBy>
  <cp:lastPrinted>2021-02-17T15:00:41Z</cp:lastPrinted>
  <dcterms:created xsi:type="dcterms:W3CDTF">2015-12-15T14:15:19Z</dcterms:created>
  <dcterms:modified xsi:type="dcterms:W3CDTF">2021-02-18T13:45:12Z</dcterms:modified>
</cp:coreProperties>
</file>